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activeX/activeX10.xml" ContentType="application/vnd.ms-office.activeX+xml"/>
  <Override PartName="/xl/activeX/activeX10.bin" ContentType="application/vnd.ms-office.activeX"/>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activeX/activeX15.xml" ContentType="application/vnd.ms-office.activeX+xml"/>
  <Override PartName="/xl/activeX/activeX15.bin" ContentType="application/vnd.ms-office.activeX"/>
  <Override PartName="/xl/activeX/activeX16.xml" ContentType="application/vnd.ms-office.activeX+xml"/>
  <Override PartName="/xl/activeX/activeX16.bin" ContentType="application/vnd.ms-office.activeX"/>
  <Override PartName="/xl/activeX/activeX17.xml" ContentType="application/vnd.ms-office.activeX+xml"/>
  <Override PartName="/xl/activeX/activeX17.bin" ContentType="application/vnd.ms-office.activeX"/>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drawings/drawing3.xml" ContentType="application/vnd.openxmlformats-officedocument.drawing+xml"/>
  <Override PartName="/xl/activeX/activeX22.xml" ContentType="application/vnd.ms-office.activeX+xml"/>
  <Override PartName="/xl/activeX/activeX22.bin" ContentType="application/vnd.ms-office.activeX"/>
  <Override PartName="/xl/drawings/drawing4.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drawings/drawing5.xml" ContentType="application/vnd.openxmlformats-officedocument.drawing+xml"/>
  <Override PartName="/xl/activeX/activeX27.xml" ContentType="application/vnd.ms-office.activeX+xml"/>
  <Override PartName="/xl/activeX/activeX27.bin" ContentType="application/vnd.ms-office.activeX"/>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drawings/drawing6.xml" ContentType="application/vnd.openxmlformats-officedocument.drawing+xml"/>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drawings/drawing7.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drawings/drawing8.xml" ContentType="application/vnd.openxmlformats-officedocument.drawing+xml"/>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activeX/activeX38.xml" ContentType="application/vnd.ms-office.activeX+xml"/>
  <Override PartName="/xl/activeX/activeX38.bin" ContentType="application/vnd.ms-office.activeX"/>
  <Override PartName="/xl/drawings/drawing9.xml" ContentType="application/vnd.openxmlformats-officedocument.drawing+xml"/>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drawings/drawing10.xml" ContentType="application/vnd.openxmlformats-officedocument.drawing+xml"/>
  <Override PartName="/xl/activeX/activeX42.xml" ContentType="application/vnd.ms-office.activeX+xml"/>
  <Override PartName="/xl/activeX/activeX42.bin" ContentType="application/vnd.ms-office.activeX"/>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drawings/drawing11.xml" ContentType="application/vnd.openxmlformats-officedocument.drawing+xml"/>
  <Override PartName="/xl/activeX/activeX47.xml" ContentType="application/vnd.ms-office.activeX+xml"/>
  <Override PartName="/xl/activeX/activeX47.bin" ContentType="application/vnd.ms-office.activeX"/>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drawings/drawing12.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drawings/drawing13.xml" ContentType="application/vnd.openxmlformats-officedocument.drawing+xml"/>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activeX/activeX58.xml" ContentType="application/vnd.ms-office.activeX+xml"/>
  <Override PartName="/xl/activeX/activeX58.bin" ContentType="application/vnd.ms-office.activeX"/>
  <Override PartName="/xl/drawings/drawing14.xml" ContentType="application/vnd.openxmlformats-officedocument.drawing+xml"/>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drawings/drawing15.xml" ContentType="application/vnd.openxmlformats-officedocument.drawing+xml"/>
  <Override PartName="/xl/activeX/activeX62.xml" ContentType="application/vnd.ms-office.activeX+xml"/>
  <Override PartName="/xl/activeX/activeX62.bin" ContentType="application/vnd.ms-office.activeX"/>
  <Override PartName="/xl/activeX/activeX63.xml" ContentType="application/vnd.ms-office.activeX+xml"/>
  <Override PartName="/xl/activeX/activeX63.bin" ContentType="application/vnd.ms-office.activeX"/>
  <Override PartName="/xl/activeX/activeX64.xml" ContentType="application/vnd.ms-office.activeX+xml"/>
  <Override PartName="/xl/activeX/activeX64.bin" ContentType="application/vnd.ms-office.activeX"/>
  <Override PartName="/xl/drawings/drawing16.xml" ContentType="application/vnd.openxmlformats-officedocument.drawing+xml"/>
  <Override PartName="/xl/activeX/activeX65.xml" ContentType="application/vnd.ms-office.activeX+xml"/>
  <Override PartName="/xl/activeX/activeX65.bin" ContentType="application/vnd.ms-office.activeX"/>
  <Override PartName="/xl/activeX/activeX66.xml" ContentType="application/vnd.ms-office.activeX+xml"/>
  <Override PartName="/xl/activeX/activeX66.bin" ContentType="application/vnd.ms-office.activeX"/>
  <Override PartName="/xl/activeX/activeX67.xml" ContentType="application/vnd.ms-office.activeX+xml"/>
  <Override PartName="/xl/activeX/activeX67.bin" ContentType="application/vnd.ms-office.activeX"/>
  <Override PartName="/xl/drawings/drawing17.xml" ContentType="application/vnd.openxmlformats-officedocument.drawing+xml"/>
  <Override PartName="/xl/activeX/activeX68.xml" ContentType="application/vnd.ms-office.activeX+xml"/>
  <Override PartName="/xl/activeX/activeX68.bin" ContentType="application/vnd.ms-office.activeX"/>
  <Override PartName="/xl/activeX/activeX69.xml" ContentType="application/vnd.ms-office.activeX+xml"/>
  <Override PartName="/xl/activeX/activeX69.bin" ContentType="application/vnd.ms-office.activeX"/>
  <Override PartName="/xl/drawings/drawing18.xml" ContentType="application/vnd.openxmlformats-officedocument.drawing+xml"/>
  <Override PartName="/xl/activeX/activeX70.xml" ContentType="application/vnd.ms-office.activeX+xml"/>
  <Override PartName="/xl/activeX/activeX70.bin" ContentType="application/vnd.ms-office.activeX"/>
  <Override PartName="/xl/activeX/activeX71.xml" ContentType="application/vnd.ms-office.activeX+xml"/>
  <Override PartName="/xl/activeX/activeX71.bin" ContentType="application/vnd.ms-office.activeX"/>
  <Override PartName="/xl/activeX/activeX72.xml" ContentType="application/vnd.ms-office.activeX+xml"/>
  <Override PartName="/xl/activeX/activeX72.bin" ContentType="application/vnd.ms-office.activeX"/>
  <Override PartName="/xl/activeX/activeX73.xml" ContentType="application/vnd.ms-office.activeX+xml"/>
  <Override PartName="/xl/activeX/activeX73.bin" ContentType="application/vnd.ms-office.activeX"/>
  <Override PartName="/xl/drawings/drawing19.xml" ContentType="application/vnd.openxmlformats-officedocument.drawing+xml"/>
  <Override PartName="/xl/activeX/activeX74.xml" ContentType="application/vnd.ms-office.activeX+xml"/>
  <Override PartName="/xl/activeX/activeX74.bin" ContentType="application/vnd.ms-office.activeX"/>
  <Override PartName="/xl/activeX/activeX75.xml" ContentType="application/vnd.ms-office.activeX+xml"/>
  <Override PartName="/xl/activeX/activeX75.bin" ContentType="application/vnd.ms-office.activeX"/>
  <Override PartName="/xl/comments1.xml" ContentType="application/vnd.openxmlformats-officedocument.spreadsheetml.comments+xml"/>
  <Override PartName="/xl/drawings/drawing20.xml" ContentType="application/vnd.openxmlformats-officedocument.drawing+xml"/>
  <Override PartName="/xl/activeX/activeX76.xml" ContentType="application/vnd.ms-office.activeX+xml"/>
  <Override PartName="/xl/activeX/activeX76.bin" ContentType="application/vnd.ms-office.activeX"/>
  <Override PartName="/xl/ctrlProps/ctrlProp4.xml" ContentType="application/vnd.ms-excel.controlproperties+xml"/>
  <Override PartName="/xl/drawings/drawing21.xml" ContentType="application/vnd.openxmlformats-officedocument.drawing+xml"/>
  <Override PartName="/xl/activeX/activeX77.xml" ContentType="application/vnd.ms-office.activeX+xml"/>
  <Override PartName="/xl/activeX/activeX77.bin" ContentType="application/vnd.ms-office.activeX"/>
  <Override PartName="/xl/activeX/activeX78.xml" ContentType="application/vnd.ms-office.activeX+xml"/>
  <Override PartName="/xl/activeX/activeX78.bin" ContentType="application/vnd.ms-office.activeX"/>
  <Override PartName="/xl/activeX/activeX79.xml" ContentType="application/vnd.ms-office.activeX+xml"/>
  <Override PartName="/xl/activeX/activeX79.bin" ContentType="application/vnd.ms-office.activeX"/>
  <Override PartName="/xl/drawings/drawing22.xml" ContentType="application/vnd.openxmlformats-officedocument.drawing+xml"/>
  <Override PartName="/xl/activeX/activeX80.xml" ContentType="application/vnd.ms-office.activeX+xml"/>
  <Override PartName="/xl/activeX/activeX80.bin" ContentType="application/vnd.ms-office.activeX"/>
  <Override PartName="/xl/activeX/activeX81.xml" ContentType="application/vnd.ms-office.activeX+xml"/>
  <Override PartName="/xl/activeX/activeX81.bin" ContentType="application/vnd.ms-office.activeX"/>
  <Override PartName="/xl/drawings/drawing23.xml" ContentType="application/vnd.openxmlformats-officedocument.drawing+xml"/>
  <Override PartName="/xl/activeX/activeX82.xml" ContentType="application/vnd.ms-office.activeX+xml"/>
  <Override PartName="/xl/activeX/activeX82.bin" ContentType="application/vnd.ms-office.activeX"/>
  <Override PartName="/xl/activeX/activeX83.xml" ContentType="application/vnd.ms-office.activeX+xml"/>
  <Override PartName="/xl/activeX/activeX83.bin" ContentType="application/vnd.ms-office.activeX"/>
  <Override PartName="/xl/drawings/drawing24.xml" ContentType="application/vnd.openxmlformats-officedocument.drawing+xml"/>
  <Override PartName="/xl/activeX/activeX84.xml" ContentType="application/vnd.ms-office.activeX+xml"/>
  <Override PartName="/xl/activeX/activeX84.bin" ContentType="application/vnd.ms-office.activeX"/>
  <Override PartName="/xl/activeX/activeX85.xml" ContentType="application/vnd.ms-office.activeX+xml"/>
  <Override PartName="/xl/activeX/activeX85.bin" ContentType="application/vnd.ms-office.activeX"/>
  <Override PartName="/xl/drawings/drawing25.xml" ContentType="application/vnd.openxmlformats-officedocument.drawing+xml"/>
  <Override PartName="/xl/activeX/activeX86.xml" ContentType="application/vnd.ms-office.activeX+xml"/>
  <Override PartName="/xl/activeX/activeX86.bin" ContentType="application/vnd.ms-office.activeX"/>
  <Override PartName="/xl/activeX/activeX87.xml" ContentType="application/vnd.ms-office.activeX+xml"/>
  <Override PartName="/xl/activeX/activeX87.bin" ContentType="application/vnd.ms-office.activeX"/>
  <Override PartName="/xl/drawings/drawing26.xml" ContentType="application/vnd.openxmlformats-officedocument.drawing+xml"/>
  <Override PartName="/xl/activeX/activeX88.xml" ContentType="application/vnd.ms-office.activeX+xml"/>
  <Override PartName="/xl/activeX/activeX88.bin" ContentType="application/vnd.ms-office.activeX"/>
  <Override PartName="/xl/activeX/activeX89.xml" ContentType="application/vnd.ms-office.activeX+xml"/>
  <Override PartName="/xl/activeX/activeX89.bin" ContentType="application/vnd.ms-office.activeX"/>
  <Override PartName="/xl/drawings/drawing27.xml" ContentType="application/vnd.openxmlformats-officedocument.drawing+xml"/>
  <Override PartName="/xl/activeX/activeX90.xml" ContentType="application/vnd.ms-office.activeX+xml"/>
  <Override PartName="/xl/activeX/activeX90.bin" ContentType="application/vnd.ms-office.activeX"/>
  <Override PartName="/xl/activeX/activeX91.xml" ContentType="application/vnd.ms-office.activeX+xml"/>
  <Override PartName="/xl/activeX/activeX91.bin" ContentType="application/vnd.ms-office.activeX"/>
  <Override PartName="/xl/activeX/activeX92.xml" ContentType="application/vnd.ms-office.activeX+xml"/>
  <Override PartName="/xl/activeX/activeX92.bin" ContentType="application/vnd.ms-office.activeX"/>
  <Override PartName="/xl/activeX/activeX93.xml" ContentType="application/vnd.ms-office.activeX+xml"/>
  <Override PartName="/xl/activeX/activeX93.bin" ContentType="application/vnd.ms-office.activeX"/>
  <Override PartName="/xl/drawings/drawing28.xml" ContentType="application/vnd.openxmlformats-officedocument.drawing+xml"/>
  <Override PartName="/xl/activeX/activeX94.xml" ContentType="application/vnd.ms-office.activeX+xml"/>
  <Override PartName="/xl/activeX/activeX94.bin" ContentType="application/vnd.ms-office.activeX"/>
  <Override PartName="/xl/activeX/activeX95.xml" ContentType="application/vnd.ms-office.activeX+xml"/>
  <Override PartName="/xl/activeX/activeX95.bin" ContentType="application/vnd.ms-office.activeX"/>
  <Override PartName="/xl/activeX/activeX96.xml" ContentType="application/vnd.ms-office.activeX+xml"/>
  <Override PartName="/xl/activeX/activeX96.bin" ContentType="application/vnd.ms-office.activeX"/>
  <Override PartName="/xl/activeX/activeX97.xml" ContentType="application/vnd.ms-office.activeX+xml"/>
  <Override PartName="/xl/activeX/activeX97.bin" ContentType="application/vnd.ms-office.activeX"/>
  <Override PartName="/xl/activeX/activeX98.xml" ContentType="application/vnd.ms-office.activeX+xml"/>
  <Override PartName="/xl/activeX/activeX98.bin" ContentType="application/vnd.ms-office.activeX"/>
  <Override PartName="/xl/comments2.xml" ContentType="application/vnd.openxmlformats-officedocument.spreadsheetml.comments+xml"/>
  <Override PartName="/xl/drawings/drawing29.xml" ContentType="application/vnd.openxmlformats-officedocument.drawing+xml"/>
  <Override PartName="/xl/activeX/activeX99.xml" ContentType="application/vnd.ms-office.activeX+xml"/>
  <Override PartName="/xl/activeX/activeX99.bin" ContentType="application/vnd.ms-office.activeX"/>
  <Override PartName="/xl/activeX/activeX100.xml" ContentType="application/vnd.ms-office.activeX+xml"/>
  <Override PartName="/xl/activeX/activeX100.bin" ContentType="application/vnd.ms-office.activeX"/>
  <Override PartName="/xl/activeX/activeX101.xml" ContentType="application/vnd.ms-office.activeX+xml"/>
  <Override PartName="/xl/activeX/activeX101.bin" ContentType="application/vnd.ms-office.activeX"/>
  <Override PartName="/xl/activeX/activeX102.xml" ContentType="application/vnd.ms-office.activeX+xml"/>
  <Override PartName="/xl/activeX/activeX102.bin" ContentType="application/vnd.ms-office.activeX"/>
  <Override PartName="/xl/drawings/drawing30.xml" ContentType="application/vnd.openxmlformats-officedocument.drawing+xml"/>
  <Override PartName="/xl/activeX/activeX103.xml" ContentType="application/vnd.ms-office.activeX+xml"/>
  <Override PartName="/xl/activeX/activeX103.bin" ContentType="application/vnd.ms-office.activeX"/>
  <Override PartName="/xl/activeX/activeX104.xml" ContentType="application/vnd.ms-office.activeX+xml"/>
  <Override PartName="/xl/activeX/activeX104.bin" ContentType="application/vnd.ms-office.activeX"/>
  <Override PartName="/xl/drawings/drawing31.xml" ContentType="application/vnd.openxmlformats-officedocument.drawing+xml"/>
  <Override PartName="/xl/activeX/activeX105.xml" ContentType="application/vnd.ms-office.activeX+xml"/>
  <Override PartName="/xl/activeX/activeX105.bin" ContentType="application/vnd.ms-office.activeX"/>
  <Override PartName="/xl/activeX/activeX106.xml" ContentType="application/vnd.ms-office.activeX+xml"/>
  <Override PartName="/xl/activeX/activeX106.bin" ContentType="application/vnd.ms-office.activeX"/>
  <Override PartName="/xl/drawings/drawing32.xml" ContentType="application/vnd.openxmlformats-officedocument.drawing+xml"/>
  <Override PartName="/xl/activeX/activeX107.xml" ContentType="application/vnd.ms-office.activeX+xml"/>
  <Override PartName="/xl/activeX/activeX107.bin" ContentType="application/vnd.ms-office.activeX"/>
  <Override PartName="/xl/activeX/activeX108.xml" ContentType="application/vnd.ms-office.activeX+xml"/>
  <Override PartName="/xl/activeX/activeX108.bin" ContentType="application/vnd.ms-office.activeX"/>
  <Override PartName="/xl/drawings/drawing33.xml" ContentType="application/vnd.openxmlformats-officedocument.drawing+xml"/>
  <Override PartName="/xl/activeX/activeX109.xml" ContentType="application/vnd.ms-office.activeX+xml"/>
  <Override PartName="/xl/activeX/activeX109.bin" ContentType="application/vnd.ms-office.activeX"/>
  <Override PartName="/xl/activeX/activeX110.xml" ContentType="application/vnd.ms-office.activeX+xml"/>
  <Override PartName="/xl/activeX/activeX110.bin" ContentType="application/vnd.ms-office.activeX"/>
  <Override PartName="/xl/activeX/activeX111.xml" ContentType="application/vnd.ms-office.activeX+xml"/>
  <Override PartName="/xl/activeX/activeX111.bin" ContentType="application/vnd.ms-office.activeX"/>
  <Override PartName="/xl/drawings/drawing34.xml" ContentType="application/vnd.openxmlformats-officedocument.drawing+xml"/>
  <Override PartName="/xl/activeX/activeX112.xml" ContentType="application/vnd.ms-office.activeX+xml"/>
  <Override PartName="/xl/activeX/activeX112.bin" ContentType="application/vnd.ms-office.activeX"/>
  <Override PartName="/xl/activeX/activeX113.xml" ContentType="application/vnd.ms-office.activeX+xml"/>
  <Override PartName="/xl/activeX/activeX113.bin" ContentType="application/vnd.ms-office.activeX"/>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codeName="{4D1C537B-E38A-612A-F078-A93A15B4B7F4}"/>
  <workbookPr codeName="ThisWorkbook"/>
  <mc:AlternateContent xmlns:mc="http://schemas.openxmlformats.org/markup-compatibility/2006">
    <mc:Choice Requires="x15">
      <x15ac:absPath xmlns:x15ac="http://schemas.microsoft.com/office/spreadsheetml/2010/11/ac" url="C:\Users\admin\OneDrive\Desktop\"/>
    </mc:Choice>
  </mc:AlternateContent>
  <xr:revisionPtr revIDLastSave="0" documentId="13_ncr:1_{136B4323-2B08-41C2-938A-5793C96F9C64}" xr6:coauthVersionLast="47" xr6:coauthVersionMax="47" xr10:uidLastSave="{00000000-0000-0000-0000-000000000000}"/>
  <bookViews>
    <workbookView xWindow="1770" yWindow="1725" windowWidth="19755" windowHeight="9360" tabRatio="742" activeTab="1" xr2:uid="{00000000-000D-0000-FFFF-FFFF00000000}"/>
  </bookViews>
  <sheets>
    <sheet name="Introduction" sheetId="50494" r:id="rId1"/>
    <sheet name="Summary" sheetId="50477" r:id="rId2"/>
    <sheet name="Boundary Questions" sheetId="50498" r:id="rId3"/>
    <sheet name="Stationary Combustion" sheetId="50478" r:id="rId4"/>
    <sheet name="Mobile Sources" sheetId="50480" r:id="rId5"/>
    <sheet name="Refrigeration and AC" sheetId="50481" r:id="rId6"/>
    <sheet name="Fire Suppression" sheetId="50482" r:id="rId7"/>
    <sheet name="Purchased Gases" sheetId="50513" r:id="rId8"/>
    <sheet name="Waste Gases" sheetId="50479" r:id="rId9"/>
    <sheet name="Electricity" sheetId="50483" r:id="rId10"/>
    <sheet name="Steam" sheetId="50484" r:id="rId11"/>
    <sheet name="Business Travel" sheetId="50486" r:id="rId12"/>
    <sheet name="Commuting" sheetId="50496" r:id="rId13"/>
    <sheet name="Product Transport" sheetId="50489" r:id="rId14"/>
    <sheet name="Waste" sheetId="50515" r:id="rId15"/>
    <sheet name="Offsets" sheetId="50491" r:id="rId16"/>
    <sheet name="Unit Conversions" sheetId="50474" r:id="rId17"/>
    <sheet name="Heat Content" sheetId="50493" r:id="rId18"/>
    <sheet name="Emission Factors" sheetId="50492" r:id="rId19"/>
    <sheet name="DropDown" sheetId="50495" state="hidden" r:id="rId20"/>
    <sheet name="Help - Data Management" sheetId="50512" r:id="rId21"/>
    <sheet name="Help - Stationary Combustion" sheetId="50502" r:id="rId22"/>
    <sheet name="Help - Mobile Sources" sheetId="50503" r:id="rId23"/>
    <sheet name="Help - Refrigeration and AC" sheetId="50504" r:id="rId24"/>
    <sheet name="Help - Fire Suppression" sheetId="50505" r:id="rId25"/>
    <sheet name="Help - Purchased Gases" sheetId="50514" r:id="rId26"/>
    <sheet name="Help - Waste Gases" sheetId="50506" r:id="rId27"/>
    <sheet name="Help - Electricity" sheetId="50507" r:id="rId28"/>
    <sheet name="Help - Market-Based Method" sheetId="50501" r:id="rId29"/>
    <sheet name="Help - Steam" sheetId="50508" r:id="rId30"/>
    <sheet name="Help - Business Travel" sheetId="50509" r:id="rId31"/>
    <sheet name="Help - Commuting" sheetId="50510" r:id="rId32"/>
    <sheet name="Help - Product Transport" sheetId="50511" r:id="rId33"/>
    <sheet name="Help - Waste" sheetId="50516" r:id="rId34"/>
    <sheet name="Help - Offsets" sheetId="50500" r:id="rId35"/>
  </sheets>
  <externalReferences>
    <externalReference r:id="rId36"/>
  </externalReferences>
  <definedNames>
    <definedName name="_xlnm._FilterDatabase" localSheetId="11" hidden="1">'Business Travel'!$C$113:$C$113</definedName>
    <definedName name="_xlnm._FilterDatabase" localSheetId="12" hidden="1">Commuting!#REF!</definedName>
    <definedName name="Aluminum_Cans">DropDown!$Z$2:$Z$4</definedName>
    <definedName name="Aluminum_Ingot">DropDown!$AA$2:$AA$4</definedName>
    <definedName name="Asphalt_Concrete">DropDown!$CB$2:$CB$3</definedName>
    <definedName name="Asphalt_Shingles">DropDown!$CC$2:$CC$4</definedName>
    <definedName name="Beef">DropDown!$AW$2:$AW$6</definedName>
    <definedName name="Biodiesel_Heavy_Duty_CH4">'Emission Factors'!$D$166</definedName>
    <definedName name="Biodiesel_Heavy_Duty_N2O">'Emission Factors'!$E$166</definedName>
    <definedName name="Biodiesel_Lt_Duty_CH4">'Emission Factors'!$D$165</definedName>
    <definedName name="Biodiesel_Lt_Duty_N2O">'Emission Factors'!$E$165</definedName>
    <definedName name="Biz_Travel_Fctr">'Emission Factors'!$A$300:$D$311</definedName>
    <definedName name="BizTravel_Air">DropDown!$N$2:$N$4</definedName>
    <definedName name="BizTravel_PassMiles">DropDown!$M$2:$M$7</definedName>
    <definedName name="BizTravel_Vehicle">DropDown!$L$2:$L$4</definedName>
    <definedName name="Branches">DropDown!$BF$2:$BF$5</definedName>
    <definedName name="Bread">DropDown!$AZ$2:$AZ$6</definedName>
    <definedName name="C_AtomicMass">'Emission Factors'!$B$265</definedName>
    <definedName name="Carpet">DropDown!$BP$2:$BP$3</definedName>
    <definedName name="CH4_GWP">'Emission Factors'!$B$188</definedName>
    <definedName name="Clay_Bricks">DropDown!$BX$2</definedName>
    <definedName name="CNG_Buses_CH4">'Emission Factors'!$D$142</definedName>
    <definedName name="CNG_Buses_N2O">'Emission Factors'!$E$142</definedName>
    <definedName name="CNG_Heavy_Duty_CH4">'Emission Factors'!$D$141</definedName>
    <definedName name="CNG_Heavy_Duty_N2O">'Emission Factors'!$E$140</definedName>
    <definedName name="CNG_Lt_Duty_CH4">'Emission Factors'!$D$140</definedName>
    <definedName name="CNG_Lt_Duty_N2O">'Emission Factors'!$E$140</definedName>
    <definedName name="Concrete">DropDown!$BY$2:$BY$3</definedName>
    <definedName name="Copper_Wire">DropDown!$AC$2:$AC$4</definedName>
    <definedName name="Corrugated_Containers">DropDown!$AM$2:$AM$4</definedName>
    <definedName name="CRT_Displays">DropDown!$BT$2:$BT$3</definedName>
    <definedName name="Dairy_Products">DropDown!$BB$2:$BB$6</definedName>
    <definedName name="Data_Entry_Sheet">Introduction!$E$25</definedName>
    <definedName name="Data_Entry_Sheet2">'Help - Data Management'!$C$2</definedName>
    <definedName name="Desktop_CPUs">DropDown!$BQ$2:$BQ$3</definedName>
    <definedName name="Diesel_Heavy_Trucks_CH4_N2O">'Emission Factors'!$C$139:$E$140</definedName>
    <definedName name="Diesel_Lt_Trucks_CH4_N2O">'Emission Factors'!$C$135:$E$138</definedName>
    <definedName name="Diesel_pass_CH4_N2O">'Emission Factors'!$C$131:$E$134</definedName>
    <definedName name="Diesel_Present_Heavy_Duty_CH4">'Emission Factors'!$D$139</definedName>
    <definedName name="Diesel_Present_Heavy_Duty_N2O">'Emission Factors'!$E$139</definedName>
    <definedName name="Diesel_Present_Lt_Duty_CH4">'Emission Factors'!$D$138</definedName>
    <definedName name="Diesel_Present_Lt_Duty_N2O">'Emission Factors'!$E$138</definedName>
    <definedName name="Dimensional_Lumber">DropDown!$AS$2:$AS$4</definedName>
    <definedName name="Drywall">DropDown!$CD$2</definedName>
    <definedName name="eGRID_em_Fctrs">'Emission Factors'!$A$271:$G$296</definedName>
    <definedName name="eGRID_Subregions">DropDown!$J$2:$J$27</definedName>
    <definedName name="Electronic_Peripherals">DropDown!$BU$2:$BU$3</definedName>
    <definedName name="Em_by_ProdTransType" localSheetId="14">Waste!$A$55</definedName>
    <definedName name="Em_by_ProdTransType">'Product Transport'!$A$101</definedName>
    <definedName name="Ethanol_Buses_CH4">'Emission Factors'!$D$164</definedName>
    <definedName name="Ethanol_Buses_N2O">'Emission Factors'!$E$164</definedName>
    <definedName name="Ethanol_Heavy_Duty_CH4">'Emission Factors'!$D$163</definedName>
    <definedName name="Ethanol_Heavy_Duty_N2O">'Emission Factors'!$E$163</definedName>
    <definedName name="Ethanol_Lt_Duty_CH4">'Emission Factors'!$D$146</definedName>
    <definedName name="Ethanol_Lt_Duty_N2O">'Emission Factors'!$E$146</definedName>
    <definedName name="Fiberglass_Insulation">DropDown!$CE$2:$CE$3</definedName>
    <definedName name="FireSupp_Equip">DropDown!$G$2:$G$3</definedName>
    <definedName name="FireSupp_Gas">DropDown!$H$2:$H$9</definedName>
    <definedName name="Fixed_FireLeakRate">'Emission Factors'!$B$333</definedName>
    <definedName name="Flat_panel_Displays">DropDown!$BS$2:$BS$3</definedName>
    <definedName name="Fly_Ash">DropDown!$BZ$2:$BZ$3</definedName>
    <definedName name="Food_Waste">DropDown!$BM$2:$BM$4</definedName>
    <definedName name="Food_Waste_meat_only">DropDown!$AV$2:$AV$5</definedName>
    <definedName name="Food_Waste_non_meat">DropDown!$AU$2:$AU$6</definedName>
    <definedName name="FoodSales" localSheetId="20">'Help - Data Management'!$B$117</definedName>
    <definedName name="FoodService" localSheetId="20">'Help - Data Management'!$B$118</definedName>
    <definedName name="Fruits_and_Vegetables">DropDown!$BA$2:$BA$6</definedName>
    <definedName name="Fuel_Type">DropDown!$C$2:$C$12</definedName>
    <definedName name="Gas">DropDown!$S$2:$S$4</definedName>
    <definedName name="Gas_Heavy_Duty_CH4_N2O">'Emission Factors'!$B$98:$D$124</definedName>
    <definedName name="Gas_Lt_Duty_Trucks_CH4_N2O">'Emission Factors'!$B$72:$D$97</definedName>
    <definedName name="Gas_Motorcycle_CH4_N2O">'Emission Factors'!$B$125:$D$126</definedName>
    <definedName name="Gas_Pass_Car_CH4_N2O">'Emission Factors'!$B$46:$D$71</definedName>
    <definedName name="Gas_Present_Heavy_Duty_CH4">'Emission Factors'!$C$124</definedName>
    <definedName name="Gas_Present_Heavy_Duty_N2O">'Emission Factors'!$D$124</definedName>
    <definedName name="Gas_Present_Lt_Duty_CH4">'Emission Factors'!$C$97</definedName>
    <definedName name="Gas_Present_Lt_Duty_N2O">'Emission Factors'!$D$97</definedName>
    <definedName name="get_gasgperkm">[1]Reference!$E$196:$I$259</definedName>
    <definedName name="GHGs">DropDown!$I$2:$I$56</definedName>
    <definedName name="Glass">DropDown!$AD$2:$AD$4</definedName>
    <definedName name="Grains">DropDown!$AY$2:$AY$6</definedName>
    <definedName name="Grass">DropDown!$BD$2:$BD$5</definedName>
    <definedName name="GWP">'Emission Factors'!$A$187:$B$259</definedName>
    <definedName name="Hard_copy_Devices">DropDown!$BV$2:$BV$3</definedName>
    <definedName name="HDPE">DropDown!$AE$2:$AE$4</definedName>
    <definedName name="HealthIn" localSheetId="20">'Help - Data Management'!$B$119</definedName>
    <definedName name="HealthOut" localSheetId="20">'Help - Data Management'!$B$120</definedName>
    <definedName name="Help_Navigation">DropDown!$B$2:$B$15</definedName>
    <definedName name="Help_sheet">Introduction!$D$14</definedName>
    <definedName name="kg_per_lb">'Unit Conversions'!$C$9</definedName>
    <definedName name="LDPE">DropDown!$AF$2:$AF$3</definedName>
    <definedName name="Leaves">DropDown!$BE$2:$BE$5</definedName>
    <definedName name="Liquid">DropDown!$T$2:$T$3</definedName>
    <definedName name="LLDPE">DropDown!$AH$2:$AH$3</definedName>
    <definedName name="LNG_Heavy_Duty_CH4">'Emission Factors'!$D$145</definedName>
    <definedName name="LNG_Heavy_Duty_N2O">'Emission Factors'!$E$145</definedName>
    <definedName name="Lodging" localSheetId="20">'Help - Data Management'!$B$121</definedName>
    <definedName name="LPG_Heavy_Duty_CH4">'Emission Factors'!$D$144</definedName>
    <definedName name="LPG_Heavy_Duty_N2O">'Emission Factors'!$E$144</definedName>
    <definedName name="LPG_Lt_Duty_CH4">'Emission Factors'!$D$143</definedName>
    <definedName name="LPG_Lt_Duty_N2O">'Emission Factors'!$E$143</definedName>
    <definedName name="Magazines_and_Third_class_mail">DropDown!$AN$2:$AN$4</definedName>
    <definedName name="Mass_Dropdown">DropDown!$X$2:$X$6</definedName>
    <definedName name="Medium_density_Fiberboard">DropDown!$AT$2:$AT$4</definedName>
    <definedName name="Mixed_Electronics">DropDown!$BW$2:$BW$3</definedName>
    <definedName name="Mixed_Metals">DropDown!$BJ$2:$BJ$4</definedName>
    <definedName name="Mixed_MSW_municipal_solid_waste">DropDown!$BO$2:$BO$3</definedName>
    <definedName name="Mixed_Organics">DropDown!$BN$2:$BN$4</definedName>
    <definedName name="Mixed_Paper_general">DropDown!$BG$2:$BG$4</definedName>
    <definedName name="Mixed_Paper_primarily_from_offices">DropDown!$BI$2:$BI$4</definedName>
    <definedName name="Mixed_Paper_primarily_residential">DropDown!$BH$2:$BH$4</definedName>
    <definedName name="Mixed_Plastics">DropDown!$BK$2:$BK$4</definedName>
    <definedName name="Mixed_Recyclables">DropDown!$BL$2:$BL$4</definedName>
    <definedName name="Mobile_Avgas_CO2fctr">'Emission Factors'!$B$33</definedName>
    <definedName name="Mobile_Biodiesel_CO2fctr">'Emission Factors'!$B$37</definedName>
    <definedName name="Mobile_CNG_CO2fctr">'Emission Factors'!$B$39</definedName>
    <definedName name="Mobile_diesel_CO2fctr">'Emission Factors'!$B$31</definedName>
    <definedName name="Mobile_Ethanol_CO2fctr">'Emission Factors'!$B$36</definedName>
    <definedName name="Mobile_FuelOil_CO2fctr">'Emission Factors'!$B$32</definedName>
    <definedName name="Mobile_gas_CO2fctr">'Emission Factors'!$B$30</definedName>
    <definedName name="Mobile_Jet_Fuel_CO2fctr">'Emission Factors'!$B$34</definedName>
    <definedName name="Mobile_LNG_CO2fctr">'Emission Factors'!$B$38</definedName>
    <definedName name="Mobile_LPG_CO2fctr">'Emission Factors'!$B$35</definedName>
    <definedName name="N2O_GWP">'Emission Factors'!$B$189</definedName>
    <definedName name="Newspaper">DropDown!$AO$2:$AO$4</definedName>
    <definedName name="Non_Highway_Vehicles_Ch4_N2O">'Emission Factors'!$A$175:$D$181</definedName>
    <definedName name="Office" localSheetId="20">'Help - Data Management'!$B$124</definedName>
    <definedName name="Office_Paper">DropDown!$AP$2:$AP$4</definedName>
    <definedName name="Other" localSheetId="20">'Help - Data Management'!$B$130</definedName>
    <definedName name="PET">DropDown!$AG$2:$AG$4</definedName>
    <definedName name="Phonebooks">DropDown!$AQ$2:$AQ$4</definedName>
    <definedName name="PLA">DropDown!$AL$2:$AL$4</definedName>
    <definedName name="Portable_Electronic_Devices">DropDown!$BR$2:$BR$3</definedName>
    <definedName name="Portable_FireLeakRate">'Emission Factors'!$B$334</definedName>
    <definedName name="Poultry">DropDown!$AX$2:$AX$6</definedName>
    <definedName name="PP">DropDown!$AI$2:$AI$3</definedName>
    <definedName name="Prod_Trans_Fctrs">'Emission Factors'!$A$319:$E$325</definedName>
    <definedName name="Prod_Trans_VehicleMiles">DropDown!$O$2:$O$4</definedName>
    <definedName name="Product_Trans_TonMiles">DropDown!$P$2:$P$5</definedName>
    <definedName name="PS">DropDown!$AJ$2:$AJ$3</definedName>
    <definedName name="PublicAssembly" localSheetId="20">'Help - Data Management'!$B$125</definedName>
    <definedName name="PublicOrder" localSheetId="20">'Help - Data Management'!$B$126</definedName>
    <definedName name="PVC">DropDown!$AK$2:$AK$3</definedName>
    <definedName name="Refrig">DropDown!$F$2:$F$48</definedName>
    <definedName name="Refrig_Equip">DropDown!$E$2:$E$10</definedName>
    <definedName name="RetailOther" localSheetId="20">'Help - Data Management'!$B$122</definedName>
    <definedName name="RetailStripMalls" localSheetId="20">'Help - Data Management'!$B$123</definedName>
    <definedName name="Service" localSheetId="20">'Help - Data Management'!$B$128</definedName>
    <definedName name="Solid">DropDown!$U$2:$U$3</definedName>
    <definedName name="Stationary_Fuel_Fctrs_mmBtu">'Emission Factors'!$A$10:$D$23</definedName>
    <definedName name="Stationary_Fuel_Fctrs_unit">'Emission Factors'!$A$10:$G$23</definedName>
    <definedName name="Steam_Fuel_Type">DropDown!$K$2:$K$15</definedName>
    <definedName name="Steel_Cans">DropDown!$AB$2:$AB$4</definedName>
    <definedName name="Tab_navigation">DropDown!$A$2:$A$14</definedName>
    <definedName name="Textbooks">DropDown!$AR$2:$AR$4</definedName>
    <definedName name="Tires">DropDown!$CA$2:$CA$4</definedName>
    <definedName name="Vacant" localSheetId="20">'Help - Data Management'!$B$131</definedName>
    <definedName name="Vehicle_Type">DropDown!$D$2:$D$43</definedName>
    <definedName name="Vinyl_Flooring">DropDown!$CF$2:$CF$3</definedName>
    <definedName name="Warehouse" localSheetId="20">'Help - Data Management'!$B$129</definedName>
    <definedName name="Wood_Flooring">DropDown!$CG$2:$CG$3</definedName>
    <definedName name="Worship" localSheetId="20">'Help - Data Management'!$B$127</definedName>
    <definedName name="Yard_Trimmings">DropDown!$BC$2:$BC$5</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3" i="50474" l="1"/>
  <c r="G13" i="50515"/>
  <c r="G14" i="50515"/>
  <c r="G15" i="50515"/>
  <c r="G16" i="50515"/>
  <c r="G17" i="50515"/>
  <c r="G18" i="50515"/>
  <c r="G19" i="50515"/>
  <c r="G20" i="50515"/>
  <c r="G21" i="50515"/>
  <c r="G22" i="50515"/>
  <c r="G23" i="50515"/>
  <c r="G24" i="50515"/>
  <c r="G25" i="50515"/>
  <c r="G26" i="50515"/>
  <c r="G27" i="50515"/>
  <c r="G28" i="50515"/>
  <c r="G29" i="50515"/>
  <c r="G30" i="50515"/>
  <c r="G31" i="50515"/>
  <c r="G32" i="50515"/>
  <c r="G33" i="50515"/>
  <c r="G34" i="50515"/>
  <c r="G35" i="50515"/>
  <c r="G36" i="50515"/>
  <c r="G37" i="50515"/>
  <c r="G38" i="50515"/>
  <c r="G39" i="50515"/>
  <c r="G40" i="50515"/>
  <c r="G41" i="50515"/>
  <c r="G42" i="50515"/>
  <c r="G43" i="50515"/>
  <c r="G44" i="50515"/>
  <c r="G45" i="50515"/>
  <c r="G46" i="50515"/>
  <c r="G47" i="50515"/>
  <c r="G48" i="50515"/>
  <c r="G49" i="50515"/>
  <c r="G50" i="50515"/>
  <c r="G12" i="50515"/>
  <c r="C12" i="50474" l="1"/>
  <c r="X6" i="50495" l="1"/>
  <c r="X3" i="50495"/>
  <c r="X4" i="50495"/>
  <c r="X5" i="50495"/>
  <c r="X2" i="50495"/>
  <c r="C15" i="50474"/>
  <c r="M7" i="50495"/>
  <c r="M3" i="50495"/>
  <c r="M4" i="50495"/>
  <c r="M5" i="50495"/>
  <c r="M6" i="50495"/>
  <c r="M2" i="50495"/>
  <c r="N3" i="50495"/>
  <c r="N4" i="50495"/>
  <c r="N2" i="50495"/>
  <c r="D161" i="50480"/>
  <c r="D138" i="50480"/>
  <c r="D152" i="50480"/>
  <c r="B57" i="50515" l="1"/>
  <c r="E16" i="50486"/>
  <c r="G60" i="50477"/>
  <c r="B61" i="50515" l="1"/>
  <c r="B62" i="50515"/>
  <c r="D198" i="50480"/>
  <c r="D76" i="50480"/>
  <c r="C213" i="50480" l="1"/>
  <c r="C214" i="50480"/>
  <c r="C212" i="50480"/>
  <c r="C211" i="50480"/>
  <c r="C209" i="50480"/>
  <c r="C210" i="50480"/>
  <c r="C208" i="50480"/>
  <c r="C207" i="50480"/>
  <c r="C206" i="50480"/>
  <c r="F23" i="50480"/>
  <c r="D78" i="50480"/>
  <c r="D77" i="50480"/>
  <c r="E220" i="50480" s="1"/>
  <c r="D73" i="50480"/>
  <c r="D70" i="50480"/>
  <c r="D71" i="50480"/>
  <c r="F22" i="50480"/>
  <c r="D202" i="50480"/>
  <c r="E202" i="50480" s="1"/>
  <c r="D201" i="50480"/>
  <c r="E201" i="50480" s="1"/>
  <c r="D200" i="50480"/>
  <c r="D199" i="50480"/>
  <c r="D197" i="50480"/>
  <c r="D196" i="50480"/>
  <c r="D195" i="50480"/>
  <c r="D194" i="50480"/>
  <c r="D193" i="50480"/>
  <c r="D192" i="50480"/>
  <c r="D191" i="50480"/>
  <c r="D190" i="50480"/>
  <c r="D189" i="50480"/>
  <c r="D187" i="50480"/>
  <c r="D186" i="50480"/>
  <c r="D185" i="50480"/>
  <c r="D184" i="50480"/>
  <c r="D183" i="50480"/>
  <c r="D182" i="50480"/>
  <c r="D188" i="50480"/>
  <c r="D180" i="50480"/>
  <c r="D178" i="50480"/>
  <c r="D179" i="50480"/>
  <c r="D181" i="50480"/>
  <c r="D177" i="50480"/>
  <c r="D167" i="50480"/>
  <c r="D83" i="50480"/>
  <c r="D109" i="50480"/>
  <c r="E109" i="50480" l="1"/>
  <c r="F109" i="50480"/>
  <c r="E83" i="50480"/>
  <c r="F83" i="50480"/>
  <c r="F167" i="50480"/>
  <c r="E167" i="50480"/>
  <c r="F70" i="50480"/>
  <c r="D176" i="50480" l="1"/>
  <c r="D174" i="50480"/>
  <c r="D170" i="50480"/>
  <c r="D108" i="50480"/>
  <c r="D134" i="50480"/>
  <c r="D163" i="50480"/>
  <c r="D162" i="50480"/>
  <c r="F49" i="50480"/>
  <c r="F48" i="50480"/>
  <c r="F162" i="50480" l="1"/>
  <c r="E162" i="50480"/>
  <c r="E163" i="50480"/>
  <c r="F163" i="50480"/>
  <c r="F134" i="50480"/>
  <c r="E134" i="50480"/>
  <c r="E174" i="50480"/>
  <c r="F174" i="50480"/>
  <c r="F108" i="50480"/>
  <c r="E108" i="50480"/>
  <c r="E170" i="50480"/>
  <c r="F170" i="50480"/>
  <c r="E161" i="50480"/>
  <c r="F161" i="50480"/>
  <c r="E176" i="50480"/>
  <c r="F176" i="50480"/>
  <c r="B408" i="50492"/>
  <c r="B406" i="50492"/>
  <c r="B407" i="50492"/>
  <c r="B58" i="50515" l="1"/>
  <c r="B60" i="50515"/>
  <c r="B59" i="50515"/>
  <c r="E212" i="50480"/>
  <c r="E213" i="50480"/>
  <c r="E214" i="50480"/>
  <c r="E207" i="50480"/>
  <c r="E206" i="50480"/>
  <c r="E211" i="50480"/>
  <c r="E209" i="50480"/>
  <c r="E210" i="50480"/>
  <c r="E208" i="50480"/>
  <c r="E192" i="50480"/>
  <c r="E198" i="50480"/>
  <c r="F199" i="50480"/>
  <c r="E200" i="50480"/>
  <c r="F201" i="50480"/>
  <c r="E197" i="50480"/>
  <c r="E193" i="50480"/>
  <c r="F194" i="50480"/>
  <c r="E195" i="50480"/>
  <c r="E196" i="50480"/>
  <c r="E191" i="50480"/>
  <c r="E188" i="50480"/>
  <c r="E189" i="50480"/>
  <c r="F190" i="50480"/>
  <c r="E187" i="50480"/>
  <c r="F183" i="50480"/>
  <c r="E184" i="50480"/>
  <c r="E185" i="50480"/>
  <c r="E186" i="50480"/>
  <c r="E182" i="50480"/>
  <c r="F178" i="50480"/>
  <c r="E179" i="50480"/>
  <c r="E180" i="50480"/>
  <c r="E181" i="50480"/>
  <c r="F177" i="50480"/>
  <c r="D175" i="50480"/>
  <c r="D173" i="50480"/>
  <c r="D172" i="50480"/>
  <c r="D171" i="50480"/>
  <c r="D169" i="50480"/>
  <c r="D65" i="50515" l="1"/>
  <c r="G61" i="50477" s="1"/>
  <c r="F175" i="50480"/>
  <c r="E175" i="50480"/>
  <c r="E172" i="50480"/>
  <c r="F172" i="50480"/>
  <c r="F169" i="50480"/>
  <c r="E169" i="50480"/>
  <c r="F171" i="50480"/>
  <c r="E171" i="50480"/>
  <c r="F173" i="50480"/>
  <c r="E173" i="50480"/>
  <c r="D207" i="50480"/>
  <c r="D214" i="50480"/>
  <c r="D206" i="50480"/>
  <c r="D213" i="50480"/>
  <c r="D211" i="50480"/>
  <c r="D212" i="50480"/>
  <c r="D210" i="50480"/>
  <c r="D209" i="50480"/>
  <c r="D208" i="50480"/>
  <c r="E199" i="50480"/>
  <c r="F197" i="50480"/>
  <c r="F185" i="50480"/>
  <c r="E183" i="50480"/>
  <c r="F200" i="50480"/>
  <c r="F191" i="50480"/>
  <c r="F184" i="50480"/>
  <c r="E177" i="50480"/>
  <c r="F187" i="50480"/>
  <c r="F202" i="50480"/>
  <c r="F198" i="50480"/>
  <c r="F186" i="50480"/>
  <c r="F182" i="50480"/>
  <c r="E194" i="50480"/>
  <c r="E190" i="50480"/>
  <c r="E178" i="50480"/>
  <c r="F193" i="50480"/>
  <c r="F189" i="50480"/>
  <c r="F181" i="50480"/>
  <c r="F196" i="50480"/>
  <c r="F192" i="50480"/>
  <c r="F188" i="50480"/>
  <c r="F180" i="50480"/>
  <c r="F195" i="50480"/>
  <c r="F179" i="50480"/>
  <c r="D151" i="50480" l="1"/>
  <c r="D153" i="50480"/>
  <c r="D154" i="50480"/>
  <c r="D155" i="50480"/>
  <c r="D156" i="50480"/>
  <c r="D157" i="50480"/>
  <c r="D158" i="50480"/>
  <c r="D159" i="50480"/>
  <c r="D160" i="50480"/>
  <c r="D124" i="50480"/>
  <c r="D125" i="50480"/>
  <c r="D126" i="50480"/>
  <c r="D127" i="50480"/>
  <c r="D128" i="50480"/>
  <c r="D129" i="50480"/>
  <c r="D130" i="50480"/>
  <c r="D131" i="50480"/>
  <c r="D132" i="50480"/>
  <c r="D133" i="50480"/>
  <c r="D99" i="50480"/>
  <c r="D100" i="50480"/>
  <c r="D101" i="50480"/>
  <c r="D102" i="50480"/>
  <c r="D103" i="50480"/>
  <c r="D104" i="50480"/>
  <c r="D105" i="50480"/>
  <c r="D106" i="50480"/>
  <c r="D107" i="50480"/>
  <c r="E133" i="50480" l="1"/>
  <c r="F133" i="50480"/>
  <c r="F158" i="50480"/>
  <c r="E158" i="50480"/>
  <c r="F102" i="50480"/>
  <c r="E102" i="50480"/>
  <c r="E125" i="50480"/>
  <c r="F125" i="50480"/>
  <c r="E105" i="50480"/>
  <c r="F105" i="50480"/>
  <c r="F132" i="50480"/>
  <c r="E132" i="50480"/>
  <c r="F124" i="50480"/>
  <c r="E124" i="50480"/>
  <c r="E153" i="50480"/>
  <c r="F153" i="50480"/>
  <c r="F104" i="50480"/>
  <c r="E104" i="50480"/>
  <c r="F100" i="50480"/>
  <c r="E100" i="50480"/>
  <c r="E131" i="50480"/>
  <c r="F131" i="50480"/>
  <c r="E127" i="50480"/>
  <c r="F127" i="50480"/>
  <c r="F160" i="50480"/>
  <c r="E160" i="50480"/>
  <c r="F156" i="50480"/>
  <c r="E156" i="50480"/>
  <c r="F152" i="50480"/>
  <c r="E152" i="50480"/>
  <c r="F106" i="50480"/>
  <c r="E106" i="50480"/>
  <c r="E129" i="50480"/>
  <c r="F129" i="50480"/>
  <c r="F154" i="50480"/>
  <c r="E154" i="50480"/>
  <c r="E101" i="50480"/>
  <c r="F101" i="50480"/>
  <c r="F128" i="50480"/>
  <c r="E128" i="50480"/>
  <c r="E157" i="50480"/>
  <c r="F157" i="50480"/>
  <c r="E107" i="50480"/>
  <c r="F107" i="50480"/>
  <c r="E103" i="50480"/>
  <c r="F103" i="50480"/>
  <c r="E99" i="50480"/>
  <c r="F99" i="50480"/>
  <c r="F130" i="50480"/>
  <c r="E130" i="50480"/>
  <c r="F126" i="50480"/>
  <c r="E126" i="50480"/>
  <c r="E159" i="50480"/>
  <c r="F159" i="50480"/>
  <c r="E155" i="50480"/>
  <c r="F155" i="50480"/>
  <c r="E151" i="50480"/>
  <c r="F151" i="50480"/>
  <c r="D168" i="50480"/>
  <c r="E168" i="50480" l="1"/>
  <c r="F168" i="50480"/>
  <c r="U58" i="50478"/>
  <c r="U57" i="50478"/>
  <c r="U56" i="50478"/>
  <c r="U55" i="50478"/>
  <c r="U54" i="50478"/>
  <c r="U53" i="50478"/>
  <c r="U52" i="50478"/>
  <c r="U51" i="50478"/>
  <c r="U50" i="50478"/>
  <c r="U49" i="50478"/>
  <c r="U48" i="50478"/>
  <c r="U47" i="50478"/>
  <c r="U46" i="50478"/>
  <c r="U45" i="50478"/>
  <c r="U44" i="50478"/>
  <c r="U43" i="50478"/>
  <c r="U42" i="50478"/>
  <c r="U41" i="50478"/>
  <c r="U40" i="50478"/>
  <c r="U39" i="50478"/>
  <c r="U38" i="50478"/>
  <c r="U37" i="50478"/>
  <c r="U36" i="50478"/>
  <c r="U35" i="50478"/>
  <c r="U34" i="50478"/>
  <c r="U33" i="50478"/>
  <c r="U32" i="50478"/>
  <c r="U31" i="50478"/>
  <c r="U30" i="50478"/>
  <c r="U29" i="50478"/>
  <c r="U28" i="50478"/>
  <c r="U27" i="50478"/>
  <c r="U26" i="50478"/>
  <c r="U25" i="50478"/>
  <c r="U24" i="50478"/>
  <c r="U23" i="50478"/>
  <c r="U22" i="50478"/>
  <c r="U21" i="50478"/>
  <c r="U20" i="50478"/>
  <c r="U19" i="50478"/>
  <c r="U18" i="50478"/>
  <c r="U17" i="50478"/>
  <c r="U16" i="50478"/>
  <c r="U15" i="50478"/>
  <c r="E72" i="50484" l="1"/>
  <c r="H72" i="50484" s="1"/>
  <c r="E43" i="50501"/>
  <c r="D28" i="50493"/>
  <c r="D27" i="50493"/>
  <c r="D12" i="50493"/>
  <c r="B50" i="50481"/>
  <c r="H50" i="50481" s="1"/>
  <c r="J75" i="50484"/>
  <c r="H77" i="50484"/>
  <c r="I78" i="50484"/>
  <c r="J79" i="50484"/>
  <c r="H81" i="50484"/>
  <c r="I82" i="50484"/>
  <c r="J83" i="50484"/>
  <c r="H85" i="50484"/>
  <c r="H86" i="50484"/>
  <c r="I86" i="50484"/>
  <c r="J86" i="50484"/>
  <c r="H87" i="50484"/>
  <c r="I87" i="50484"/>
  <c r="J87" i="50484"/>
  <c r="H88" i="50484"/>
  <c r="I88" i="50484"/>
  <c r="J88" i="50484"/>
  <c r="H89" i="50484"/>
  <c r="I89" i="50484"/>
  <c r="J89" i="50484"/>
  <c r="H90" i="50484"/>
  <c r="I90" i="50484"/>
  <c r="J90" i="50484"/>
  <c r="H91" i="50484"/>
  <c r="I91" i="50484"/>
  <c r="J91" i="50484"/>
  <c r="H92" i="50484"/>
  <c r="I92" i="50484"/>
  <c r="J92" i="50484"/>
  <c r="H93" i="50484"/>
  <c r="I93" i="50484"/>
  <c r="J93" i="50484"/>
  <c r="H94" i="50484"/>
  <c r="I94" i="50484"/>
  <c r="J94" i="50484"/>
  <c r="H95" i="50484"/>
  <c r="I95" i="50484"/>
  <c r="J95" i="50484"/>
  <c r="H96" i="50484"/>
  <c r="I96" i="50484"/>
  <c r="J96" i="50484"/>
  <c r="H97" i="50484"/>
  <c r="I97" i="50484"/>
  <c r="J97" i="50484"/>
  <c r="H98" i="50484"/>
  <c r="I98" i="50484"/>
  <c r="J98" i="50484"/>
  <c r="H99" i="50484"/>
  <c r="I99" i="50484"/>
  <c r="J99" i="50484"/>
  <c r="H100" i="50484"/>
  <c r="I100" i="50484"/>
  <c r="J100" i="50484"/>
  <c r="H101" i="50484"/>
  <c r="I101" i="50484"/>
  <c r="J101" i="50484"/>
  <c r="H102" i="50484"/>
  <c r="I102" i="50484"/>
  <c r="J102" i="50484"/>
  <c r="H103" i="50484"/>
  <c r="I103" i="50484"/>
  <c r="J103" i="50484"/>
  <c r="H104" i="50484"/>
  <c r="I104" i="50484"/>
  <c r="J104" i="50484"/>
  <c r="H105" i="50484"/>
  <c r="I105" i="50484"/>
  <c r="J105" i="50484"/>
  <c r="H106" i="50484"/>
  <c r="I106" i="50484"/>
  <c r="J106" i="50484"/>
  <c r="H107" i="50484"/>
  <c r="I107" i="50484"/>
  <c r="J107" i="50484"/>
  <c r="H108" i="50484"/>
  <c r="I108" i="50484"/>
  <c r="J108" i="50484"/>
  <c r="H109" i="50484"/>
  <c r="I109" i="50484"/>
  <c r="J109" i="50484"/>
  <c r="E58" i="50483"/>
  <c r="I20" i="50483"/>
  <c r="J20" i="50483"/>
  <c r="K20" i="50483"/>
  <c r="L21" i="50483"/>
  <c r="I21" i="50483" s="1"/>
  <c r="L20" i="50483"/>
  <c r="F71" i="50482"/>
  <c r="F72" i="50482"/>
  <c r="F73" i="50482"/>
  <c r="F74" i="50482"/>
  <c r="F75" i="50482"/>
  <c r="F76" i="50482"/>
  <c r="F77" i="50482"/>
  <c r="F78" i="50482"/>
  <c r="F79" i="50482"/>
  <c r="F80" i="50482"/>
  <c r="F81" i="50482"/>
  <c r="F82" i="50482"/>
  <c r="F83" i="50482"/>
  <c r="F84" i="50482"/>
  <c r="F85" i="50482"/>
  <c r="F86" i="50482"/>
  <c r="F87" i="50482"/>
  <c r="F88" i="50482"/>
  <c r="F89" i="50482"/>
  <c r="F90" i="50482"/>
  <c r="F91" i="50482"/>
  <c r="F92" i="50482"/>
  <c r="F93" i="50482"/>
  <c r="F94" i="50482"/>
  <c r="F95" i="50482"/>
  <c r="F96" i="50482"/>
  <c r="F97" i="50482"/>
  <c r="F98" i="50482"/>
  <c r="F99" i="50482"/>
  <c r="F100" i="50482"/>
  <c r="F101" i="50482"/>
  <c r="F102" i="50482"/>
  <c r="F103" i="50482"/>
  <c r="F104" i="50482"/>
  <c r="G58" i="50489"/>
  <c r="F58" i="50489"/>
  <c r="E58" i="50489"/>
  <c r="Q77" i="50481"/>
  <c r="IV194" i="50492"/>
  <c r="D26" i="50493"/>
  <c r="C75" i="50478" s="1"/>
  <c r="C90" i="50478" s="1"/>
  <c r="D20" i="50493"/>
  <c r="C74" i="50478" s="1"/>
  <c r="C89" i="50478" s="1"/>
  <c r="D7" i="50493"/>
  <c r="D13" i="50493" s="1"/>
  <c r="C72" i="50484"/>
  <c r="D137" i="50480"/>
  <c r="D135" i="50480"/>
  <c r="D95" i="50480"/>
  <c r="D96" i="50480"/>
  <c r="D97" i="50480"/>
  <c r="D98" i="50480"/>
  <c r="D148" i="50480"/>
  <c r="D149" i="50480"/>
  <c r="D150" i="50480"/>
  <c r="D122" i="50480"/>
  <c r="D123" i="50480"/>
  <c r="D120" i="50480"/>
  <c r="D121" i="50480"/>
  <c r="D22" i="50493"/>
  <c r="C71" i="50478" s="1"/>
  <c r="D85" i="50478" s="1"/>
  <c r="D21" i="50493"/>
  <c r="C70" i="50478" s="1"/>
  <c r="D84" i="50478" s="1"/>
  <c r="D25" i="50493"/>
  <c r="D24" i="50493"/>
  <c r="C73" i="50478" s="1"/>
  <c r="C87" i="50478" s="1"/>
  <c r="D23" i="50493"/>
  <c r="C72" i="50478" s="1"/>
  <c r="C86" i="50478" s="1"/>
  <c r="D19" i="50493"/>
  <c r="F73" i="50480"/>
  <c r="F77" i="50480"/>
  <c r="L23" i="50483"/>
  <c r="I23" i="50483" s="1"/>
  <c r="E75" i="50484"/>
  <c r="H75" i="50484"/>
  <c r="G96" i="50489"/>
  <c r="F96" i="50489"/>
  <c r="E96" i="50489"/>
  <c r="G95" i="50489"/>
  <c r="F95" i="50489"/>
  <c r="E95" i="50489"/>
  <c r="G94" i="50489"/>
  <c r="F94" i="50489"/>
  <c r="E94" i="50489"/>
  <c r="G93" i="50489"/>
  <c r="F93" i="50489"/>
  <c r="E93" i="50489"/>
  <c r="G92" i="50489"/>
  <c r="F92" i="50489"/>
  <c r="E92" i="50489"/>
  <c r="G91" i="50489"/>
  <c r="F91" i="50489"/>
  <c r="E91" i="50489"/>
  <c r="G90" i="50489"/>
  <c r="F90" i="50489"/>
  <c r="E90" i="50489"/>
  <c r="G89" i="50489"/>
  <c r="F89" i="50489"/>
  <c r="E89" i="50489"/>
  <c r="G88" i="50489"/>
  <c r="F88" i="50489"/>
  <c r="E88" i="50489"/>
  <c r="G87" i="50489"/>
  <c r="F87" i="50489"/>
  <c r="E87" i="50489"/>
  <c r="G86" i="50489"/>
  <c r="F86" i="50489"/>
  <c r="E86" i="50489"/>
  <c r="G85" i="50489"/>
  <c r="F85" i="50489"/>
  <c r="E85" i="50489"/>
  <c r="G84" i="50489"/>
  <c r="F84" i="50489"/>
  <c r="E84" i="50489"/>
  <c r="G83" i="50489"/>
  <c r="F83" i="50489"/>
  <c r="E83" i="50489"/>
  <c r="G82" i="50489"/>
  <c r="F82" i="50489"/>
  <c r="E82" i="50489"/>
  <c r="G81" i="50489"/>
  <c r="F81" i="50489"/>
  <c r="E81" i="50489"/>
  <c r="G80" i="50489"/>
  <c r="F80" i="50489"/>
  <c r="E80" i="50489"/>
  <c r="G79" i="50489"/>
  <c r="F79" i="50489"/>
  <c r="E79" i="50489"/>
  <c r="G78" i="50489"/>
  <c r="F78" i="50489"/>
  <c r="E78" i="50489"/>
  <c r="G77" i="50489"/>
  <c r="F77" i="50489"/>
  <c r="E77" i="50489"/>
  <c r="G76" i="50489"/>
  <c r="F76" i="50489"/>
  <c r="E76" i="50489"/>
  <c r="G75" i="50489"/>
  <c r="F75" i="50489"/>
  <c r="E75" i="50489"/>
  <c r="G74" i="50489"/>
  <c r="F74" i="50489"/>
  <c r="E74" i="50489"/>
  <c r="G73" i="50489"/>
  <c r="F73" i="50489"/>
  <c r="E73" i="50489"/>
  <c r="G72" i="50489"/>
  <c r="F72" i="50489"/>
  <c r="E72" i="50489"/>
  <c r="G71" i="50489"/>
  <c r="F71" i="50489"/>
  <c r="E71" i="50489"/>
  <c r="G70" i="50489"/>
  <c r="F70" i="50489"/>
  <c r="E70" i="50489"/>
  <c r="G69" i="50489"/>
  <c r="F69" i="50489"/>
  <c r="E69" i="50489"/>
  <c r="G68" i="50489"/>
  <c r="F68" i="50489"/>
  <c r="E68" i="50489"/>
  <c r="G67" i="50489"/>
  <c r="F67" i="50489"/>
  <c r="E67" i="50489"/>
  <c r="G66" i="50489"/>
  <c r="F66" i="50489"/>
  <c r="E66" i="50489"/>
  <c r="G65" i="50489"/>
  <c r="F65" i="50489"/>
  <c r="E65" i="50489"/>
  <c r="G64" i="50489"/>
  <c r="F64" i="50489"/>
  <c r="E64" i="50489"/>
  <c r="E106" i="50489"/>
  <c r="D106" i="50489"/>
  <c r="C106" i="50489"/>
  <c r="E113" i="50486"/>
  <c r="F113" i="50486"/>
  <c r="E60" i="50486"/>
  <c r="C38" i="50479"/>
  <c r="C39" i="50479" s="1"/>
  <c r="E115" i="50486"/>
  <c r="B15" i="50513"/>
  <c r="D15" i="50513" s="1"/>
  <c r="D22" i="50479"/>
  <c r="B25" i="50513"/>
  <c r="D25" i="50513" s="1"/>
  <c r="B24" i="50513"/>
  <c r="D24" i="50513" s="1"/>
  <c r="B23" i="50513"/>
  <c r="D23" i="50513" s="1"/>
  <c r="B22" i="50513"/>
  <c r="D22" i="50513" s="1"/>
  <c r="B21" i="50513"/>
  <c r="D21" i="50513" s="1"/>
  <c r="B20" i="50513"/>
  <c r="D20" i="50513" s="1"/>
  <c r="B19" i="50513"/>
  <c r="D19" i="50513" s="1"/>
  <c r="B18" i="50513"/>
  <c r="D18" i="50513" s="1"/>
  <c r="B17" i="50513"/>
  <c r="D17" i="50513" s="1"/>
  <c r="B16" i="50513"/>
  <c r="D16" i="50513" s="1"/>
  <c r="B51" i="50481"/>
  <c r="H51" i="50481" s="1"/>
  <c r="B52" i="50481"/>
  <c r="H52" i="50481" s="1"/>
  <c r="B53" i="50481"/>
  <c r="H53" i="50481" s="1"/>
  <c r="B54" i="50481"/>
  <c r="H54" i="50481" s="1"/>
  <c r="B55" i="50481"/>
  <c r="H55" i="50481" s="1"/>
  <c r="B56" i="50481"/>
  <c r="H56" i="50481" s="1"/>
  <c r="B57" i="50481"/>
  <c r="H57" i="50481" s="1"/>
  <c r="B58" i="50481"/>
  <c r="H58" i="50481" s="1"/>
  <c r="B59" i="50481"/>
  <c r="H59" i="50481" s="1"/>
  <c r="B60" i="50481"/>
  <c r="H60" i="50481" s="1"/>
  <c r="B26" i="50481"/>
  <c r="F26" i="50481" s="1"/>
  <c r="B27" i="50481"/>
  <c r="F27" i="50481" s="1"/>
  <c r="B28" i="50481"/>
  <c r="F28" i="50481" s="1"/>
  <c r="B29" i="50481"/>
  <c r="F29" i="50481" s="1"/>
  <c r="B30" i="50481"/>
  <c r="F30" i="50481" s="1"/>
  <c r="B31" i="50481"/>
  <c r="F31" i="50481" s="1"/>
  <c r="B32" i="50481"/>
  <c r="F32" i="50481" s="1"/>
  <c r="B33" i="50481"/>
  <c r="F33" i="50481" s="1"/>
  <c r="B34" i="50481"/>
  <c r="F34" i="50481" s="1"/>
  <c r="B35" i="50481"/>
  <c r="F35" i="50481" s="1"/>
  <c r="B36" i="50481"/>
  <c r="F36" i="50481" s="1"/>
  <c r="J2" i="50495"/>
  <c r="J24" i="50495"/>
  <c r="J25" i="50495"/>
  <c r="J26" i="50495"/>
  <c r="J27" i="50495"/>
  <c r="J3" i="50495"/>
  <c r="J4" i="50495"/>
  <c r="J5" i="50495"/>
  <c r="J6" i="50495"/>
  <c r="J7" i="50495"/>
  <c r="J8" i="50495"/>
  <c r="J9" i="50495"/>
  <c r="J10" i="50495"/>
  <c r="J11" i="50495"/>
  <c r="J12" i="50495"/>
  <c r="J13" i="50495"/>
  <c r="J14" i="50495"/>
  <c r="J15" i="50495"/>
  <c r="J16" i="50495"/>
  <c r="J17" i="50495"/>
  <c r="J18" i="50495"/>
  <c r="J19" i="50495"/>
  <c r="J20" i="50495"/>
  <c r="J21" i="50495"/>
  <c r="J22" i="50495"/>
  <c r="J23" i="50495"/>
  <c r="Q90" i="50481"/>
  <c r="G19" i="50480"/>
  <c r="F76" i="50481"/>
  <c r="D78" i="50481"/>
  <c r="H78" i="50481" s="1"/>
  <c r="D79" i="50481"/>
  <c r="H79" i="50481" s="1"/>
  <c r="D80" i="50481"/>
  <c r="H80" i="50481" s="1"/>
  <c r="D81" i="50481"/>
  <c r="H81" i="50481" s="1"/>
  <c r="D82" i="50481"/>
  <c r="H82" i="50481" s="1"/>
  <c r="D83" i="50481"/>
  <c r="H83" i="50481" s="1"/>
  <c r="D84" i="50481"/>
  <c r="H84" i="50481" s="1"/>
  <c r="D85" i="50481"/>
  <c r="H85" i="50481" s="1"/>
  <c r="D86" i="50481"/>
  <c r="H86" i="50481" s="1"/>
  <c r="D87" i="50481"/>
  <c r="H87" i="50481" s="1"/>
  <c r="D88" i="50481"/>
  <c r="H88" i="50481" s="1"/>
  <c r="D89" i="50481"/>
  <c r="H89" i="50481" s="1"/>
  <c r="D90" i="50481"/>
  <c r="H90" i="50481" s="1"/>
  <c r="D91" i="50481"/>
  <c r="H91" i="50481" s="1"/>
  <c r="D92" i="50481"/>
  <c r="H92" i="50481" s="1"/>
  <c r="D93" i="50481"/>
  <c r="H93" i="50481" s="1"/>
  <c r="D94" i="50481"/>
  <c r="H94" i="50481" s="1"/>
  <c r="D95" i="50481"/>
  <c r="H95" i="50481" s="1"/>
  <c r="D96" i="50481"/>
  <c r="H96" i="50481" s="1"/>
  <c r="D97" i="50481"/>
  <c r="H97" i="50481" s="1"/>
  <c r="D98" i="50481"/>
  <c r="H98" i="50481" s="1"/>
  <c r="D99" i="50481"/>
  <c r="H99" i="50481" s="1"/>
  <c r="D100" i="50481"/>
  <c r="H100" i="50481" s="1"/>
  <c r="D101" i="50481"/>
  <c r="H101" i="50481" s="1"/>
  <c r="D102" i="50481"/>
  <c r="H102" i="50481" s="1"/>
  <c r="D103" i="50481"/>
  <c r="H103" i="50481" s="1"/>
  <c r="D104" i="50481"/>
  <c r="H104" i="50481" s="1"/>
  <c r="D105" i="50481"/>
  <c r="H105" i="50481" s="1"/>
  <c r="D106" i="50481"/>
  <c r="H106" i="50481" s="1"/>
  <c r="D107" i="50481"/>
  <c r="H107" i="50481" s="1"/>
  <c r="D108" i="50481"/>
  <c r="H108" i="50481" s="1"/>
  <c r="D109" i="50481"/>
  <c r="H109" i="50481" s="1"/>
  <c r="D110" i="50481"/>
  <c r="H110" i="50481" s="1"/>
  <c r="D111" i="50481"/>
  <c r="H111" i="50481" s="1"/>
  <c r="D112" i="50481"/>
  <c r="H112" i="50481" s="1"/>
  <c r="D113" i="50481"/>
  <c r="H113" i="50481" s="1"/>
  <c r="D114" i="50481"/>
  <c r="H114" i="50481" s="1"/>
  <c r="D77" i="50481"/>
  <c r="H77" i="50481" s="1"/>
  <c r="U77" i="50481"/>
  <c r="D68" i="50482"/>
  <c r="F68" i="50482" s="1"/>
  <c r="D70" i="50482"/>
  <c r="D71" i="50482"/>
  <c r="D72" i="50482"/>
  <c r="D73" i="50482"/>
  <c r="D74" i="50482"/>
  <c r="D75" i="50482"/>
  <c r="D76" i="50482"/>
  <c r="D77" i="50482"/>
  <c r="D78" i="50482"/>
  <c r="D79" i="50482"/>
  <c r="D80" i="50482"/>
  <c r="D81" i="50482"/>
  <c r="D82" i="50482"/>
  <c r="D83" i="50482"/>
  <c r="D84" i="50482"/>
  <c r="D85" i="50482"/>
  <c r="D86" i="50482"/>
  <c r="D87" i="50482"/>
  <c r="D88" i="50482"/>
  <c r="D89" i="50482"/>
  <c r="D90" i="50482"/>
  <c r="D91" i="50482"/>
  <c r="D92" i="50482"/>
  <c r="D93" i="50482"/>
  <c r="D94" i="50482"/>
  <c r="D95" i="50482"/>
  <c r="D96" i="50482"/>
  <c r="D97" i="50482"/>
  <c r="D98" i="50482"/>
  <c r="D99" i="50482"/>
  <c r="D100" i="50482"/>
  <c r="D101" i="50482"/>
  <c r="D102" i="50482"/>
  <c r="D103" i="50482"/>
  <c r="D104" i="50482"/>
  <c r="D69" i="50482"/>
  <c r="F69" i="50482"/>
  <c r="B49" i="50482"/>
  <c r="H49" i="50482" s="1"/>
  <c r="B50" i="50482"/>
  <c r="H50" i="50482" s="1"/>
  <c r="B51" i="50482"/>
  <c r="H51" i="50482" s="1"/>
  <c r="B52" i="50482"/>
  <c r="H52" i="50482" s="1"/>
  <c r="B53" i="50482"/>
  <c r="H53" i="50482" s="1"/>
  <c r="B54" i="50482"/>
  <c r="H54" i="50482" s="1"/>
  <c r="B55" i="50482"/>
  <c r="H55" i="50482" s="1"/>
  <c r="B48" i="50482"/>
  <c r="H48" i="50482" s="1"/>
  <c r="B28" i="50482"/>
  <c r="F28" i="50482" s="1"/>
  <c r="B29" i="50482"/>
  <c r="F29" i="50482" s="1"/>
  <c r="B30" i="50482"/>
  <c r="F30" i="50482" s="1"/>
  <c r="B31" i="50482"/>
  <c r="F31" i="50482" s="1"/>
  <c r="B32" i="50482"/>
  <c r="F32" i="50482" s="1"/>
  <c r="B33" i="50482"/>
  <c r="F33" i="50482" s="1"/>
  <c r="B34" i="50482"/>
  <c r="F34" i="50482" s="1"/>
  <c r="B35" i="50482"/>
  <c r="F35" i="50482" s="1"/>
  <c r="E116" i="50496"/>
  <c r="D113" i="50496"/>
  <c r="G60" i="50489"/>
  <c r="E107" i="50489"/>
  <c r="G61" i="50489"/>
  <c r="E108" i="50489"/>
  <c r="G62" i="50489"/>
  <c r="G63" i="50489"/>
  <c r="G59" i="50489"/>
  <c r="E109" i="50489" s="1"/>
  <c r="F60" i="50489"/>
  <c r="D107" i="50489"/>
  <c r="F61" i="50489"/>
  <c r="F62" i="50489"/>
  <c r="D109" i="50489"/>
  <c r="F63" i="50489"/>
  <c r="F59" i="50489"/>
  <c r="D108" i="50489" s="1"/>
  <c r="E60" i="50489"/>
  <c r="C107" i="50489"/>
  <c r="E61" i="50489"/>
  <c r="E62" i="50489"/>
  <c r="C109" i="50489"/>
  <c r="E63" i="50489"/>
  <c r="E59" i="50489"/>
  <c r="C108" i="50489" s="1"/>
  <c r="C56" i="50474"/>
  <c r="N20" i="50483"/>
  <c r="M20" i="50483"/>
  <c r="L22" i="50483"/>
  <c r="I22" i="50483" s="1"/>
  <c r="M22" i="50483"/>
  <c r="J22" i="50483" s="1"/>
  <c r="N22" i="50483"/>
  <c r="K22" i="50483" s="1"/>
  <c r="M23" i="50483"/>
  <c r="J23" i="50483" s="1"/>
  <c r="N23" i="50483"/>
  <c r="K23" i="50483" s="1"/>
  <c r="L24" i="50483"/>
  <c r="I24" i="50483" s="1"/>
  <c r="M24" i="50483"/>
  <c r="J24" i="50483" s="1"/>
  <c r="N24" i="50483"/>
  <c r="K24" i="50483" s="1"/>
  <c r="L25" i="50483"/>
  <c r="I25" i="50483" s="1"/>
  <c r="M25" i="50483"/>
  <c r="J25" i="50483" s="1"/>
  <c r="N25" i="50483"/>
  <c r="K25" i="50483" s="1"/>
  <c r="L26" i="50483"/>
  <c r="I26" i="50483" s="1"/>
  <c r="M26" i="50483"/>
  <c r="J26" i="50483" s="1"/>
  <c r="N26" i="50483"/>
  <c r="K26" i="50483" s="1"/>
  <c r="L27" i="50483"/>
  <c r="I27" i="50483" s="1"/>
  <c r="M27" i="50483"/>
  <c r="J27" i="50483" s="1"/>
  <c r="N27" i="50483"/>
  <c r="K27" i="50483" s="1"/>
  <c r="L28" i="50483"/>
  <c r="I28" i="50483" s="1"/>
  <c r="M28" i="50483"/>
  <c r="J28" i="50483" s="1"/>
  <c r="N28" i="50483"/>
  <c r="K28" i="50483" s="1"/>
  <c r="L29" i="50483"/>
  <c r="I29" i="50483" s="1"/>
  <c r="M29" i="50483"/>
  <c r="J29" i="50483" s="1"/>
  <c r="N29" i="50483"/>
  <c r="K29" i="50483" s="1"/>
  <c r="L30" i="50483"/>
  <c r="I30" i="50483" s="1"/>
  <c r="M30" i="50483"/>
  <c r="J30" i="50483" s="1"/>
  <c r="N30" i="50483"/>
  <c r="K30" i="50483" s="1"/>
  <c r="L31" i="50483"/>
  <c r="I31" i="50483" s="1"/>
  <c r="M31" i="50483"/>
  <c r="J31" i="50483" s="1"/>
  <c r="N31" i="50483"/>
  <c r="K31" i="50483" s="1"/>
  <c r="L32" i="50483"/>
  <c r="I32" i="50483" s="1"/>
  <c r="M32" i="50483"/>
  <c r="J32" i="50483" s="1"/>
  <c r="N32" i="50483"/>
  <c r="K32" i="50483" s="1"/>
  <c r="L33" i="50483"/>
  <c r="I33" i="50483" s="1"/>
  <c r="M33" i="50483"/>
  <c r="J33" i="50483" s="1"/>
  <c r="N33" i="50483"/>
  <c r="K33" i="50483" s="1"/>
  <c r="L34" i="50483"/>
  <c r="I34" i="50483" s="1"/>
  <c r="M34" i="50483"/>
  <c r="J34" i="50483" s="1"/>
  <c r="N34" i="50483"/>
  <c r="K34" i="50483" s="1"/>
  <c r="L35" i="50483"/>
  <c r="I35" i="50483" s="1"/>
  <c r="M35" i="50483"/>
  <c r="J35" i="50483" s="1"/>
  <c r="N35" i="50483"/>
  <c r="K35" i="50483" s="1"/>
  <c r="L36" i="50483"/>
  <c r="I36" i="50483" s="1"/>
  <c r="M36" i="50483"/>
  <c r="J36" i="50483" s="1"/>
  <c r="N36" i="50483"/>
  <c r="K36" i="50483" s="1"/>
  <c r="L37" i="50483"/>
  <c r="I37" i="50483" s="1"/>
  <c r="M37" i="50483"/>
  <c r="J37" i="50483" s="1"/>
  <c r="N37" i="50483"/>
  <c r="K37" i="50483" s="1"/>
  <c r="L38" i="50483"/>
  <c r="I38" i="50483" s="1"/>
  <c r="M38" i="50483"/>
  <c r="J38" i="50483" s="1"/>
  <c r="N38" i="50483"/>
  <c r="K38" i="50483" s="1"/>
  <c r="L39" i="50483"/>
  <c r="I39" i="50483" s="1"/>
  <c r="M39" i="50483"/>
  <c r="J39" i="50483" s="1"/>
  <c r="N39" i="50483"/>
  <c r="K39" i="50483" s="1"/>
  <c r="L40" i="50483"/>
  <c r="I40" i="50483" s="1"/>
  <c r="M40" i="50483"/>
  <c r="J40" i="50483" s="1"/>
  <c r="N40" i="50483"/>
  <c r="K40" i="50483" s="1"/>
  <c r="L41" i="50483"/>
  <c r="I41" i="50483" s="1"/>
  <c r="M41" i="50483"/>
  <c r="J41" i="50483" s="1"/>
  <c r="N41" i="50483"/>
  <c r="K41" i="50483" s="1"/>
  <c r="L42" i="50483"/>
  <c r="I42" i="50483" s="1"/>
  <c r="M42" i="50483"/>
  <c r="J42" i="50483" s="1"/>
  <c r="N42" i="50483"/>
  <c r="K42" i="50483" s="1"/>
  <c r="L43" i="50483"/>
  <c r="I43" i="50483" s="1"/>
  <c r="M43" i="50483"/>
  <c r="J43" i="50483" s="1"/>
  <c r="N43" i="50483"/>
  <c r="K43" i="50483" s="1"/>
  <c r="L44" i="50483"/>
  <c r="I44" i="50483" s="1"/>
  <c r="M44" i="50483"/>
  <c r="J44" i="50483" s="1"/>
  <c r="N44" i="50483"/>
  <c r="K44" i="50483" s="1"/>
  <c r="L45" i="50483"/>
  <c r="I45" i="50483" s="1"/>
  <c r="M45" i="50483"/>
  <c r="J45" i="50483" s="1"/>
  <c r="N45" i="50483"/>
  <c r="K45" i="50483" s="1"/>
  <c r="L46" i="50483"/>
  <c r="I46" i="50483" s="1"/>
  <c r="M46" i="50483"/>
  <c r="J46" i="50483" s="1"/>
  <c r="N46" i="50483"/>
  <c r="K46" i="50483" s="1"/>
  <c r="L47" i="50483"/>
  <c r="I47" i="50483" s="1"/>
  <c r="M47" i="50483"/>
  <c r="J47" i="50483" s="1"/>
  <c r="N47" i="50483"/>
  <c r="K47" i="50483" s="1"/>
  <c r="L48" i="50483"/>
  <c r="I48" i="50483" s="1"/>
  <c r="M48" i="50483"/>
  <c r="J48" i="50483" s="1"/>
  <c r="N48" i="50483"/>
  <c r="K48" i="50483" s="1"/>
  <c r="L49" i="50483"/>
  <c r="I49" i="50483" s="1"/>
  <c r="M49" i="50483"/>
  <c r="J49" i="50483" s="1"/>
  <c r="N49" i="50483"/>
  <c r="K49" i="50483" s="1"/>
  <c r="L50" i="50483"/>
  <c r="I50" i="50483" s="1"/>
  <c r="M50" i="50483"/>
  <c r="J50" i="50483" s="1"/>
  <c r="N50" i="50483"/>
  <c r="K50" i="50483" s="1"/>
  <c r="L51" i="50483"/>
  <c r="I51" i="50483" s="1"/>
  <c r="M51" i="50483"/>
  <c r="J51" i="50483" s="1"/>
  <c r="N51" i="50483"/>
  <c r="K51" i="50483" s="1"/>
  <c r="L52" i="50483"/>
  <c r="I52" i="50483" s="1"/>
  <c r="M52" i="50483"/>
  <c r="J52" i="50483" s="1"/>
  <c r="N52" i="50483"/>
  <c r="K52" i="50483" s="1"/>
  <c r="L53" i="50483"/>
  <c r="I53" i="50483" s="1"/>
  <c r="M53" i="50483"/>
  <c r="J53" i="50483" s="1"/>
  <c r="N53" i="50483"/>
  <c r="K53" i="50483" s="1"/>
  <c r="L54" i="50483"/>
  <c r="I54" i="50483" s="1"/>
  <c r="M54" i="50483"/>
  <c r="J54" i="50483" s="1"/>
  <c r="N54" i="50483"/>
  <c r="K54" i="50483" s="1"/>
  <c r="L55" i="50483"/>
  <c r="I55" i="50483" s="1"/>
  <c r="M55" i="50483"/>
  <c r="J55" i="50483" s="1"/>
  <c r="N55" i="50483"/>
  <c r="K55" i="50483" s="1"/>
  <c r="L56" i="50483"/>
  <c r="I56" i="50483" s="1"/>
  <c r="M56" i="50483"/>
  <c r="J56" i="50483" s="1"/>
  <c r="N56" i="50483"/>
  <c r="K56" i="50483" s="1"/>
  <c r="L57" i="50483"/>
  <c r="I57" i="50483" s="1"/>
  <c r="M57" i="50483"/>
  <c r="J57" i="50483" s="1"/>
  <c r="N57" i="50483"/>
  <c r="K57" i="50483" s="1"/>
  <c r="N21" i="50483"/>
  <c r="K21" i="50483" s="1"/>
  <c r="M21" i="50483"/>
  <c r="G14" i="50489"/>
  <c r="F14" i="50489"/>
  <c r="E14" i="50489"/>
  <c r="E16" i="50489"/>
  <c r="C103" i="50489" s="1"/>
  <c r="F16" i="50489"/>
  <c r="D105" i="50489" s="1"/>
  <c r="G16" i="50489"/>
  <c r="E17" i="50489"/>
  <c r="F17" i="50489"/>
  <c r="G17" i="50489"/>
  <c r="E105" i="50489"/>
  <c r="E18" i="50489"/>
  <c r="F18" i="50489"/>
  <c r="G18" i="50489"/>
  <c r="E19" i="50489"/>
  <c r="F19" i="50489"/>
  <c r="G19" i="50489"/>
  <c r="E20" i="50489"/>
  <c r="F20" i="50489"/>
  <c r="G20" i="50489"/>
  <c r="E21" i="50489"/>
  <c r="F21" i="50489"/>
  <c r="G21" i="50489"/>
  <c r="E22" i="50489"/>
  <c r="F22" i="50489"/>
  <c r="G22" i="50489"/>
  <c r="E23" i="50489"/>
  <c r="F23" i="50489"/>
  <c r="G23" i="50489"/>
  <c r="E24" i="50489"/>
  <c r="F24" i="50489"/>
  <c r="G24" i="50489"/>
  <c r="E25" i="50489"/>
  <c r="F25" i="50489"/>
  <c r="G25" i="50489"/>
  <c r="E26" i="50489"/>
  <c r="F26" i="50489"/>
  <c r="G26" i="50489"/>
  <c r="E27" i="50489"/>
  <c r="F27" i="50489"/>
  <c r="G27" i="50489"/>
  <c r="E28" i="50489"/>
  <c r="F28" i="50489"/>
  <c r="G28" i="50489"/>
  <c r="E29" i="50489"/>
  <c r="F29" i="50489"/>
  <c r="G29" i="50489"/>
  <c r="E30" i="50489"/>
  <c r="F30" i="50489"/>
  <c r="G30" i="50489"/>
  <c r="E31" i="50489"/>
  <c r="F31" i="50489"/>
  <c r="G31" i="50489"/>
  <c r="E32" i="50489"/>
  <c r="F32" i="50489"/>
  <c r="G32" i="50489"/>
  <c r="E33" i="50489"/>
  <c r="F33" i="50489"/>
  <c r="G33" i="50489"/>
  <c r="E34" i="50489"/>
  <c r="F34" i="50489"/>
  <c r="G34" i="50489"/>
  <c r="E35" i="50489"/>
  <c r="F35" i="50489"/>
  <c r="G35" i="50489"/>
  <c r="E36" i="50489"/>
  <c r="F36" i="50489"/>
  <c r="G36" i="50489"/>
  <c r="E37" i="50489"/>
  <c r="F37" i="50489"/>
  <c r="G37" i="50489"/>
  <c r="E38" i="50489"/>
  <c r="F38" i="50489"/>
  <c r="G38" i="50489"/>
  <c r="E39" i="50489"/>
  <c r="F39" i="50489"/>
  <c r="G39" i="50489"/>
  <c r="E40" i="50489"/>
  <c r="F40" i="50489"/>
  <c r="G40" i="50489"/>
  <c r="E41" i="50489"/>
  <c r="F41" i="50489"/>
  <c r="G41" i="50489"/>
  <c r="E42" i="50489"/>
  <c r="F42" i="50489"/>
  <c r="G42" i="50489"/>
  <c r="E43" i="50489"/>
  <c r="F43" i="50489"/>
  <c r="G43" i="50489"/>
  <c r="E44" i="50489"/>
  <c r="F44" i="50489"/>
  <c r="G44" i="50489"/>
  <c r="E45" i="50489"/>
  <c r="F45" i="50489"/>
  <c r="G45" i="50489"/>
  <c r="E46" i="50489"/>
  <c r="F46" i="50489"/>
  <c r="G46" i="50489"/>
  <c r="E47" i="50489"/>
  <c r="F47" i="50489"/>
  <c r="G47" i="50489"/>
  <c r="E48" i="50489"/>
  <c r="F48" i="50489"/>
  <c r="G48" i="50489"/>
  <c r="E49" i="50489"/>
  <c r="F49" i="50489"/>
  <c r="G49" i="50489"/>
  <c r="E50" i="50489"/>
  <c r="F50" i="50489"/>
  <c r="G50" i="50489"/>
  <c r="E51" i="50489"/>
  <c r="F51" i="50489"/>
  <c r="G51" i="50489"/>
  <c r="E52" i="50489"/>
  <c r="F52" i="50489"/>
  <c r="G52" i="50489"/>
  <c r="G15" i="50489"/>
  <c r="E103" i="50489" s="1"/>
  <c r="F15" i="50489"/>
  <c r="D103" i="50489" s="1"/>
  <c r="E15" i="50489"/>
  <c r="C104" i="50489" s="1"/>
  <c r="G105" i="50496"/>
  <c r="F105" i="50496"/>
  <c r="E105" i="50496"/>
  <c r="G104" i="50496"/>
  <c r="F104" i="50496"/>
  <c r="E104" i="50496"/>
  <c r="G103" i="50496"/>
  <c r="F103" i="50496"/>
  <c r="E103" i="50496"/>
  <c r="G102" i="50496"/>
  <c r="F102" i="50496"/>
  <c r="E102" i="50496"/>
  <c r="G101" i="50496"/>
  <c r="F101" i="50496"/>
  <c r="E101" i="50496"/>
  <c r="G100" i="50496"/>
  <c r="F100" i="50496"/>
  <c r="E100" i="50496"/>
  <c r="G99" i="50496"/>
  <c r="F99" i="50496"/>
  <c r="E99" i="50496"/>
  <c r="G98" i="50496"/>
  <c r="F98" i="50496"/>
  <c r="E98" i="50496"/>
  <c r="G97" i="50496"/>
  <c r="F97" i="50496"/>
  <c r="E97" i="50496"/>
  <c r="G96" i="50496"/>
  <c r="F96" i="50496"/>
  <c r="E96" i="50496"/>
  <c r="G95" i="50496"/>
  <c r="F95" i="50496"/>
  <c r="E95" i="50496"/>
  <c r="G94" i="50496"/>
  <c r="F94" i="50496"/>
  <c r="E94" i="50496"/>
  <c r="G93" i="50496"/>
  <c r="F93" i="50496"/>
  <c r="E93" i="50496"/>
  <c r="G92" i="50496"/>
  <c r="F92" i="50496"/>
  <c r="E92" i="50496"/>
  <c r="G91" i="50496"/>
  <c r="F91" i="50496"/>
  <c r="E91" i="50496"/>
  <c r="G90" i="50496"/>
  <c r="F90" i="50496"/>
  <c r="E90" i="50496"/>
  <c r="G89" i="50496"/>
  <c r="F89" i="50496"/>
  <c r="E89" i="50496"/>
  <c r="G88" i="50496"/>
  <c r="F88" i="50496"/>
  <c r="E88" i="50496"/>
  <c r="G87" i="50496"/>
  <c r="F87" i="50496"/>
  <c r="E87" i="50496"/>
  <c r="G86" i="50496"/>
  <c r="F86" i="50496"/>
  <c r="E86" i="50496"/>
  <c r="G85" i="50496"/>
  <c r="F85" i="50496"/>
  <c r="E85" i="50496"/>
  <c r="G84" i="50496"/>
  <c r="F84" i="50496"/>
  <c r="E84" i="50496"/>
  <c r="G83" i="50496"/>
  <c r="F83" i="50496"/>
  <c r="E83" i="50496"/>
  <c r="G82" i="50496"/>
  <c r="F82" i="50496"/>
  <c r="E82" i="50496"/>
  <c r="G81" i="50496"/>
  <c r="F81" i="50496"/>
  <c r="E81" i="50496"/>
  <c r="G80" i="50496"/>
  <c r="F80" i="50496"/>
  <c r="E80" i="50496"/>
  <c r="G79" i="50496"/>
  <c r="F79" i="50496"/>
  <c r="E79" i="50496"/>
  <c r="G78" i="50496"/>
  <c r="F78" i="50496"/>
  <c r="E78" i="50496"/>
  <c r="G77" i="50496"/>
  <c r="F77" i="50496"/>
  <c r="E77" i="50496"/>
  <c r="G76" i="50496"/>
  <c r="F76" i="50496"/>
  <c r="E76" i="50496"/>
  <c r="G75" i="50496"/>
  <c r="F75" i="50496"/>
  <c r="E75" i="50496"/>
  <c r="G74" i="50496"/>
  <c r="F74" i="50496"/>
  <c r="E74" i="50496"/>
  <c r="G73" i="50496"/>
  <c r="F73" i="50496"/>
  <c r="E73" i="50496"/>
  <c r="G72" i="50496"/>
  <c r="F72" i="50496"/>
  <c r="E72" i="50496"/>
  <c r="G71" i="50496"/>
  <c r="F71" i="50496"/>
  <c r="E71" i="50496"/>
  <c r="G70" i="50496"/>
  <c r="F70" i="50496"/>
  <c r="E70" i="50496"/>
  <c r="G69" i="50496"/>
  <c r="F69" i="50496"/>
  <c r="E69" i="50496"/>
  <c r="G68" i="50496"/>
  <c r="F68" i="50496"/>
  <c r="E68" i="50496"/>
  <c r="G67" i="50496"/>
  <c r="F67" i="50496"/>
  <c r="E67" i="50496"/>
  <c r="G66" i="50496"/>
  <c r="F66" i="50496"/>
  <c r="E66" i="50496"/>
  <c r="G65" i="50496"/>
  <c r="F65" i="50496"/>
  <c r="E65" i="50496"/>
  <c r="G64" i="50496"/>
  <c r="F64" i="50496"/>
  <c r="E64" i="50496"/>
  <c r="G63" i="50496"/>
  <c r="F63" i="50496"/>
  <c r="E63" i="50496"/>
  <c r="G62" i="50496"/>
  <c r="F62" i="50496"/>
  <c r="E62" i="50496"/>
  <c r="G61" i="50496"/>
  <c r="F61" i="50496"/>
  <c r="E61" i="50496"/>
  <c r="C118" i="50496"/>
  <c r="G60" i="50496"/>
  <c r="F60" i="50496"/>
  <c r="E60" i="50496"/>
  <c r="G59" i="50496"/>
  <c r="F59" i="50496"/>
  <c r="D116" i="50496"/>
  <c r="E59" i="50496"/>
  <c r="G58" i="50496"/>
  <c r="E117" i="50496" s="1"/>
  <c r="E115" i="50496"/>
  <c r="F58" i="50496"/>
  <c r="D115" i="50496" s="1"/>
  <c r="E58" i="50496"/>
  <c r="C116" i="50496" s="1"/>
  <c r="C115" i="50496"/>
  <c r="G52" i="50496"/>
  <c r="F52" i="50496"/>
  <c r="E52" i="50496"/>
  <c r="G51" i="50496"/>
  <c r="F51" i="50496"/>
  <c r="E51" i="50496"/>
  <c r="G50" i="50496"/>
  <c r="F50" i="50496"/>
  <c r="E50" i="50496"/>
  <c r="G49" i="50496"/>
  <c r="F49" i="50496"/>
  <c r="E49" i="50496"/>
  <c r="G48" i="50496"/>
  <c r="F48" i="50496"/>
  <c r="E48" i="50496"/>
  <c r="G47" i="50496"/>
  <c r="F47" i="50496"/>
  <c r="E47" i="50496"/>
  <c r="G46" i="50496"/>
  <c r="F46" i="50496"/>
  <c r="E46" i="50496"/>
  <c r="G45" i="50496"/>
  <c r="F45" i="50496"/>
  <c r="E45" i="50496"/>
  <c r="G44" i="50496"/>
  <c r="F44" i="50496"/>
  <c r="E44" i="50496"/>
  <c r="G43" i="50496"/>
  <c r="F43" i="50496"/>
  <c r="E43" i="50496"/>
  <c r="G42" i="50496"/>
  <c r="F42" i="50496"/>
  <c r="E42" i="50496"/>
  <c r="G41" i="50496"/>
  <c r="F41" i="50496"/>
  <c r="E41" i="50496"/>
  <c r="G40" i="50496"/>
  <c r="F40" i="50496"/>
  <c r="E40" i="50496"/>
  <c r="G39" i="50496"/>
  <c r="F39" i="50496"/>
  <c r="E39" i="50496"/>
  <c r="G38" i="50496"/>
  <c r="F38" i="50496"/>
  <c r="E38" i="50496"/>
  <c r="G37" i="50496"/>
  <c r="F37" i="50496"/>
  <c r="E37" i="50496"/>
  <c r="G36" i="50496"/>
  <c r="F36" i="50496"/>
  <c r="E36" i="50496"/>
  <c r="G35" i="50496"/>
  <c r="F35" i="50496"/>
  <c r="E35" i="50496"/>
  <c r="G34" i="50496"/>
  <c r="F34" i="50496"/>
  <c r="E34" i="50496"/>
  <c r="G33" i="50496"/>
  <c r="F33" i="50496"/>
  <c r="E33" i="50496"/>
  <c r="G32" i="50496"/>
  <c r="F32" i="50496"/>
  <c r="E32" i="50496"/>
  <c r="G31" i="50496"/>
  <c r="F31" i="50496"/>
  <c r="E31" i="50496"/>
  <c r="G30" i="50496"/>
  <c r="F30" i="50496"/>
  <c r="E30" i="50496"/>
  <c r="G29" i="50496"/>
  <c r="F29" i="50496"/>
  <c r="E29" i="50496"/>
  <c r="G28" i="50496"/>
  <c r="F28" i="50496"/>
  <c r="E28" i="50496"/>
  <c r="G27" i="50496"/>
  <c r="F27" i="50496"/>
  <c r="E27" i="50496"/>
  <c r="G26" i="50496"/>
  <c r="F26" i="50496"/>
  <c r="E26" i="50496"/>
  <c r="G25" i="50496"/>
  <c r="F25" i="50496"/>
  <c r="E25" i="50496"/>
  <c r="G24" i="50496"/>
  <c r="F24" i="50496"/>
  <c r="E24" i="50496"/>
  <c r="G23" i="50496"/>
  <c r="F23" i="50496"/>
  <c r="E23" i="50496"/>
  <c r="G22" i="50496"/>
  <c r="F22" i="50496"/>
  <c r="E22" i="50496"/>
  <c r="G21" i="50496"/>
  <c r="F21" i="50496"/>
  <c r="E21" i="50496"/>
  <c r="G20" i="50496"/>
  <c r="F20" i="50496"/>
  <c r="E20" i="50496"/>
  <c r="G19" i="50496"/>
  <c r="F19" i="50496"/>
  <c r="E19" i="50496"/>
  <c r="G18" i="50496"/>
  <c r="F18" i="50496"/>
  <c r="E18" i="50496"/>
  <c r="G17" i="50496"/>
  <c r="F17" i="50496"/>
  <c r="D114" i="50496"/>
  <c r="E17" i="50496"/>
  <c r="G16" i="50496"/>
  <c r="F16" i="50496"/>
  <c r="E16" i="50496"/>
  <c r="G15" i="50496"/>
  <c r="E113" i="50496" s="1"/>
  <c r="F15" i="50496"/>
  <c r="D112" i="50496" s="1"/>
  <c r="E15" i="50496"/>
  <c r="C112" i="50496" s="1"/>
  <c r="G14" i="50496"/>
  <c r="F14" i="50496"/>
  <c r="E14" i="50496"/>
  <c r="E114" i="50486"/>
  <c r="F114" i="50486"/>
  <c r="G114" i="50486"/>
  <c r="F115" i="50486"/>
  <c r="G115" i="50486"/>
  <c r="E116" i="50486"/>
  <c r="F116" i="50486"/>
  <c r="G116" i="50486"/>
  <c r="E117" i="50486"/>
  <c r="F117" i="50486"/>
  <c r="G117" i="50486"/>
  <c r="E118" i="50486"/>
  <c r="F118" i="50486"/>
  <c r="G118" i="50486"/>
  <c r="E119" i="50486"/>
  <c r="F119" i="50486"/>
  <c r="G119" i="50486"/>
  <c r="E120" i="50486"/>
  <c r="F120" i="50486"/>
  <c r="G120" i="50486"/>
  <c r="E121" i="50486"/>
  <c r="F121" i="50486"/>
  <c r="G121" i="50486"/>
  <c r="E122" i="50486"/>
  <c r="F122" i="50486"/>
  <c r="G122" i="50486"/>
  <c r="E123" i="50486"/>
  <c r="F123" i="50486"/>
  <c r="G123" i="50486"/>
  <c r="E124" i="50486"/>
  <c r="F124" i="50486"/>
  <c r="G124" i="50486"/>
  <c r="E125" i="50486"/>
  <c r="F125" i="50486"/>
  <c r="G125" i="50486"/>
  <c r="E126" i="50486"/>
  <c r="F126" i="50486"/>
  <c r="G126" i="50486"/>
  <c r="E127" i="50486"/>
  <c r="F127" i="50486"/>
  <c r="G127" i="50486"/>
  <c r="E128" i="50486"/>
  <c r="F128" i="50486"/>
  <c r="G128" i="50486"/>
  <c r="E129" i="50486"/>
  <c r="F129" i="50486"/>
  <c r="G129" i="50486"/>
  <c r="E130" i="50486"/>
  <c r="F130" i="50486"/>
  <c r="G130" i="50486"/>
  <c r="E131" i="50486"/>
  <c r="F131" i="50486"/>
  <c r="G131" i="50486"/>
  <c r="E132" i="50486"/>
  <c r="F132" i="50486"/>
  <c r="G132" i="50486"/>
  <c r="E133" i="50486"/>
  <c r="F133" i="50486"/>
  <c r="G133" i="50486"/>
  <c r="E134" i="50486"/>
  <c r="F134" i="50486"/>
  <c r="G134" i="50486"/>
  <c r="E135" i="50486"/>
  <c r="F135" i="50486"/>
  <c r="G135" i="50486"/>
  <c r="E136" i="50486"/>
  <c r="F136" i="50486"/>
  <c r="G136" i="50486"/>
  <c r="E137" i="50486"/>
  <c r="F137" i="50486"/>
  <c r="G137" i="50486"/>
  <c r="E138" i="50486"/>
  <c r="F138" i="50486"/>
  <c r="G138" i="50486"/>
  <c r="E139" i="50486"/>
  <c r="F139" i="50486"/>
  <c r="G139" i="50486"/>
  <c r="E140" i="50486"/>
  <c r="F140" i="50486"/>
  <c r="G140" i="50486"/>
  <c r="E141" i="50486"/>
  <c r="F141" i="50486"/>
  <c r="G141" i="50486"/>
  <c r="E142" i="50486"/>
  <c r="F142" i="50486"/>
  <c r="G142" i="50486"/>
  <c r="E143" i="50486"/>
  <c r="F143" i="50486"/>
  <c r="G143" i="50486"/>
  <c r="E144" i="50486"/>
  <c r="F144" i="50486"/>
  <c r="G144" i="50486"/>
  <c r="G113" i="50486"/>
  <c r="E160" i="50486"/>
  <c r="E61" i="50486"/>
  <c r="F61" i="50486"/>
  <c r="G61" i="50486"/>
  <c r="E62" i="50486"/>
  <c r="F62" i="50486"/>
  <c r="D156" i="50486" s="1"/>
  <c r="G62" i="50486"/>
  <c r="E63" i="50486"/>
  <c r="F63" i="50486"/>
  <c r="G63" i="50486"/>
  <c r="E64" i="50486"/>
  <c r="F64" i="50486"/>
  <c r="D158" i="50486" s="1"/>
  <c r="G64" i="50486"/>
  <c r="E65" i="50486"/>
  <c r="F65" i="50486"/>
  <c r="G65" i="50486"/>
  <c r="E66" i="50486"/>
  <c r="F66" i="50486"/>
  <c r="G66" i="50486"/>
  <c r="E67" i="50486"/>
  <c r="F67" i="50486"/>
  <c r="G67" i="50486"/>
  <c r="E68" i="50486"/>
  <c r="F68" i="50486"/>
  <c r="G68" i="50486"/>
  <c r="E69" i="50486"/>
  <c r="F69" i="50486"/>
  <c r="G69" i="50486"/>
  <c r="E70" i="50486"/>
  <c r="F70" i="50486"/>
  <c r="G70" i="50486"/>
  <c r="E71" i="50486"/>
  <c r="F71" i="50486"/>
  <c r="G71" i="50486"/>
  <c r="E72" i="50486"/>
  <c r="F72" i="50486"/>
  <c r="G72" i="50486"/>
  <c r="E73" i="50486"/>
  <c r="F73" i="50486"/>
  <c r="G73" i="50486"/>
  <c r="E74" i="50486"/>
  <c r="F74" i="50486"/>
  <c r="G74" i="50486"/>
  <c r="E75" i="50486"/>
  <c r="F75" i="50486"/>
  <c r="G75" i="50486"/>
  <c r="E76" i="50486"/>
  <c r="F76" i="50486"/>
  <c r="G76" i="50486"/>
  <c r="E77" i="50486"/>
  <c r="F77" i="50486"/>
  <c r="G77" i="50486"/>
  <c r="E78" i="50486"/>
  <c r="F78" i="50486"/>
  <c r="G78" i="50486"/>
  <c r="E79" i="50486"/>
  <c r="F79" i="50486"/>
  <c r="G79" i="50486"/>
  <c r="E80" i="50486"/>
  <c r="F80" i="50486"/>
  <c r="G80" i="50486"/>
  <c r="E81" i="50486"/>
  <c r="F81" i="50486"/>
  <c r="G81" i="50486"/>
  <c r="E82" i="50486"/>
  <c r="F82" i="50486"/>
  <c r="G82" i="50486"/>
  <c r="E83" i="50486"/>
  <c r="F83" i="50486"/>
  <c r="G83" i="50486"/>
  <c r="E84" i="50486"/>
  <c r="F84" i="50486"/>
  <c r="G84" i="50486"/>
  <c r="E85" i="50486"/>
  <c r="F85" i="50486"/>
  <c r="G85" i="50486"/>
  <c r="E86" i="50486"/>
  <c r="F86" i="50486"/>
  <c r="G86" i="50486"/>
  <c r="E87" i="50486"/>
  <c r="F87" i="50486"/>
  <c r="G87" i="50486"/>
  <c r="E88" i="50486"/>
  <c r="F88" i="50486"/>
  <c r="G88" i="50486"/>
  <c r="E89" i="50486"/>
  <c r="F89" i="50486"/>
  <c r="G89" i="50486"/>
  <c r="E90" i="50486"/>
  <c r="F90" i="50486"/>
  <c r="G90" i="50486"/>
  <c r="E91" i="50486"/>
  <c r="F91" i="50486"/>
  <c r="G91" i="50486"/>
  <c r="E92" i="50486"/>
  <c r="F92" i="50486"/>
  <c r="G92" i="50486"/>
  <c r="E93" i="50486"/>
  <c r="F93" i="50486"/>
  <c r="G93" i="50486"/>
  <c r="E94" i="50486"/>
  <c r="F94" i="50486"/>
  <c r="G94" i="50486"/>
  <c r="E95" i="50486"/>
  <c r="F95" i="50486"/>
  <c r="G95" i="50486"/>
  <c r="E96" i="50486"/>
  <c r="F96" i="50486"/>
  <c r="G96" i="50486"/>
  <c r="E97" i="50486"/>
  <c r="F97" i="50486"/>
  <c r="G97" i="50486"/>
  <c r="E98" i="50486"/>
  <c r="F98" i="50486"/>
  <c r="G98" i="50486"/>
  <c r="E99" i="50486"/>
  <c r="F99" i="50486"/>
  <c r="G99" i="50486"/>
  <c r="E100" i="50486"/>
  <c r="F100" i="50486"/>
  <c r="G100" i="50486"/>
  <c r="E101" i="50486"/>
  <c r="F101" i="50486"/>
  <c r="G101" i="50486"/>
  <c r="E102" i="50486"/>
  <c r="F102" i="50486"/>
  <c r="G102" i="50486"/>
  <c r="E103" i="50486"/>
  <c r="F103" i="50486"/>
  <c r="G103" i="50486"/>
  <c r="E104" i="50486"/>
  <c r="F104" i="50486"/>
  <c r="G104" i="50486"/>
  <c r="E105" i="50486"/>
  <c r="F105" i="50486"/>
  <c r="G105" i="50486"/>
  <c r="E106" i="50486"/>
  <c r="F106" i="50486"/>
  <c r="G106" i="50486"/>
  <c r="E107" i="50486"/>
  <c r="F107" i="50486"/>
  <c r="G107" i="50486"/>
  <c r="G60" i="50486"/>
  <c r="E154" i="50486" s="1"/>
  <c r="F60" i="50486"/>
  <c r="D154" i="50486" s="1"/>
  <c r="G16" i="50486"/>
  <c r="F16" i="50486"/>
  <c r="E18" i="50486"/>
  <c r="F18" i="50486"/>
  <c r="G18" i="50486"/>
  <c r="E19" i="50486"/>
  <c r="C153" i="50486" s="1"/>
  <c r="F19" i="50486"/>
  <c r="G19" i="50486"/>
  <c r="E20" i="50486"/>
  <c r="F20" i="50486"/>
  <c r="G20" i="50486"/>
  <c r="E21" i="50486"/>
  <c r="F21" i="50486"/>
  <c r="G21" i="50486"/>
  <c r="E22" i="50486"/>
  <c r="F22" i="50486"/>
  <c r="G22" i="50486"/>
  <c r="E23" i="50486"/>
  <c r="F23" i="50486"/>
  <c r="G23" i="50486"/>
  <c r="E24" i="50486"/>
  <c r="F24" i="50486"/>
  <c r="G24" i="50486"/>
  <c r="E25" i="50486"/>
  <c r="F25" i="50486"/>
  <c r="G25" i="50486"/>
  <c r="E26" i="50486"/>
  <c r="F26" i="50486"/>
  <c r="G26" i="50486"/>
  <c r="E27" i="50486"/>
  <c r="F27" i="50486"/>
  <c r="G27" i="50486"/>
  <c r="E28" i="50486"/>
  <c r="F28" i="50486"/>
  <c r="G28" i="50486"/>
  <c r="E29" i="50486"/>
  <c r="F29" i="50486"/>
  <c r="G29" i="50486"/>
  <c r="E30" i="50486"/>
  <c r="F30" i="50486"/>
  <c r="G30" i="50486"/>
  <c r="E31" i="50486"/>
  <c r="F31" i="50486"/>
  <c r="G31" i="50486"/>
  <c r="E32" i="50486"/>
  <c r="F32" i="50486"/>
  <c r="G32" i="50486"/>
  <c r="E33" i="50486"/>
  <c r="F33" i="50486"/>
  <c r="G33" i="50486"/>
  <c r="E34" i="50486"/>
  <c r="F34" i="50486"/>
  <c r="G34" i="50486"/>
  <c r="E35" i="50486"/>
  <c r="F35" i="50486"/>
  <c r="G35" i="50486"/>
  <c r="E36" i="50486"/>
  <c r="F36" i="50486"/>
  <c r="G36" i="50486"/>
  <c r="E37" i="50486"/>
  <c r="F37" i="50486"/>
  <c r="G37" i="50486"/>
  <c r="E38" i="50486"/>
  <c r="F38" i="50486"/>
  <c r="G38" i="50486"/>
  <c r="E39" i="50486"/>
  <c r="F39" i="50486"/>
  <c r="G39" i="50486"/>
  <c r="E40" i="50486"/>
  <c r="F40" i="50486"/>
  <c r="G40" i="50486"/>
  <c r="E41" i="50486"/>
  <c r="F41" i="50486"/>
  <c r="G41" i="50486"/>
  <c r="E42" i="50486"/>
  <c r="F42" i="50486"/>
  <c r="G42" i="50486"/>
  <c r="E43" i="50486"/>
  <c r="F43" i="50486"/>
  <c r="G43" i="50486"/>
  <c r="E44" i="50486"/>
  <c r="F44" i="50486"/>
  <c r="G44" i="50486"/>
  <c r="E45" i="50486"/>
  <c r="F45" i="50486"/>
  <c r="G45" i="50486"/>
  <c r="E46" i="50486"/>
  <c r="F46" i="50486"/>
  <c r="G46" i="50486"/>
  <c r="E47" i="50486"/>
  <c r="F47" i="50486"/>
  <c r="G47" i="50486"/>
  <c r="E48" i="50486"/>
  <c r="F48" i="50486"/>
  <c r="G48" i="50486"/>
  <c r="E49" i="50486"/>
  <c r="F49" i="50486"/>
  <c r="G49" i="50486"/>
  <c r="E50" i="50486"/>
  <c r="F50" i="50486"/>
  <c r="G50" i="50486"/>
  <c r="E51" i="50486"/>
  <c r="F51" i="50486"/>
  <c r="G51" i="50486"/>
  <c r="E52" i="50486"/>
  <c r="F52" i="50486"/>
  <c r="G52" i="50486"/>
  <c r="E53" i="50486"/>
  <c r="F53" i="50486"/>
  <c r="G53" i="50486"/>
  <c r="E54" i="50486"/>
  <c r="F54" i="50486"/>
  <c r="G54" i="50486"/>
  <c r="G17" i="50486"/>
  <c r="E151" i="50486" s="1"/>
  <c r="F17" i="50486"/>
  <c r="D151" i="50486" s="1"/>
  <c r="E17" i="50486"/>
  <c r="D142" i="50480"/>
  <c r="D136" i="50480"/>
  <c r="D139" i="50480"/>
  <c r="D140" i="50480"/>
  <c r="D141" i="50480"/>
  <c r="D143" i="50480"/>
  <c r="D144" i="50480"/>
  <c r="D145" i="50480"/>
  <c r="D146" i="50480"/>
  <c r="D147" i="50480"/>
  <c r="D110" i="50480"/>
  <c r="D111" i="50480"/>
  <c r="D112" i="50480"/>
  <c r="D113" i="50480"/>
  <c r="D114" i="50480"/>
  <c r="D115" i="50480"/>
  <c r="D116" i="50480"/>
  <c r="D117" i="50480"/>
  <c r="D118" i="50480"/>
  <c r="D119" i="50480"/>
  <c r="D94" i="50480"/>
  <c r="D93" i="50480"/>
  <c r="D92" i="50480"/>
  <c r="D91" i="50480"/>
  <c r="D90" i="50480"/>
  <c r="D89" i="50480"/>
  <c r="D88" i="50480"/>
  <c r="D87" i="50480"/>
  <c r="D86" i="50480"/>
  <c r="D85" i="50480"/>
  <c r="D84" i="50480"/>
  <c r="F54" i="50480"/>
  <c r="E74" i="50484"/>
  <c r="H74" i="50484"/>
  <c r="F74" i="50484"/>
  <c r="I74" i="50484"/>
  <c r="G74" i="50484"/>
  <c r="J74" i="50484"/>
  <c r="G75" i="50484"/>
  <c r="E76" i="50484"/>
  <c r="H76" i="50484"/>
  <c r="F76" i="50484"/>
  <c r="I76" i="50484"/>
  <c r="G76" i="50484"/>
  <c r="J76" i="50484"/>
  <c r="E77" i="50484"/>
  <c r="F77" i="50484"/>
  <c r="I77" i="50484"/>
  <c r="G77" i="50484"/>
  <c r="J77" i="50484"/>
  <c r="E78" i="50484"/>
  <c r="H78" i="50484"/>
  <c r="F78" i="50484"/>
  <c r="G78" i="50484"/>
  <c r="J78" i="50484"/>
  <c r="E79" i="50484"/>
  <c r="H79" i="50484"/>
  <c r="F79" i="50484"/>
  <c r="I79" i="50484"/>
  <c r="G79" i="50484"/>
  <c r="E80" i="50484"/>
  <c r="H80" i="50484"/>
  <c r="F80" i="50484"/>
  <c r="I80" i="50484"/>
  <c r="G80" i="50484"/>
  <c r="J80" i="50484"/>
  <c r="E81" i="50484"/>
  <c r="F81" i="50484"/>
  <c r="I81" i="50484"/>
  <c r="G81" i="50484"/>
  <c r="J81" i="50484"/>
  <c r="E82" i="50484"/>
  <c r="H82" i="50484"/>
  <c r="F82" i="50484"/>
  <c r="G82" i="50484"/>
  <c r="J82" i="50484"/>
  <c r="E83" i="50484"/>
  <c r="H83" i="50484"/>
  <c r="F83" i="50484"/>
  <c r="I83" i="50484"/>
  <c r="G83" i="50484"/>
  <c r="E84" i="50484"/>
  <c r="H84" i="50484"/>
  <c r="F84" i="50484"/>
  <c r="I84" i="50484"/>
  <c r="G84" i="50484"/>
  <c r="J84" i="50484"/>
  <c r="E85" i="50484"/>
  <c r="F85" i="50484"/>
  <c r="I85" i="50484"/>
  <c r="G85" i="50484"/>
  <c r="J85" i="50484"/>
  <c r="E86" i="50484"/>
  <c r="F86" i="50484"/>
  <c r="G86" i="50484"/>
  <c r="E87" i="50484"/>
  <c r="F87" i="50484"/>
  <c r="G87" i="50484"/>
  <c r="E88" i="50484"/>
  <c r="F88" i="50484"/>
  <c r="G88" i="50484"/>
  <c r="E89" i="50484"/>
  <c r="F89" i="50484"/>
  <c r="G89" i="50484"/>
  <c r="E90" i="50484"/>
  <c r="F90" i="50484"/>
  <c r="G90" i="50484"/>
  <c r="E91" i="50484"/>
  <c r="F91" i="50484"/>
  <c r="G91" i="50484"/>
  <c r="E92" i="50484"/>
  <c r="F92" i="50484"/>
  <c r="G92" i="50484"/>
  <c r="E93" i="50484"/>
  <c r="F93" i="50484"/>
  <c r="G93" i="50484"/>
  <c r="E94" i="50484"/>
  <c r="F94" i="50484"/>
  <c r="G94" i="50484"/>
  <c r="E95" i="50484"/>
  <c r="F95" i="50484"/>
  <c r="G95" i="50484"/>
  <c r="E96" i="50484"/>
  <c r="F96" i="50484"/>
  <c r="G96" i="50484"/>
  <c r="E97" i="50484"/>
  <c r="F97" i="50484"/>
  <c r="G97" i="50484"/>
  <c r="E98" i="50484"/>
  <c r="F98" i="50484"/>
  <c r="G98" i="50484"/>
  <c r="E99" i="50484"/>
  <c r="F99" i="50484"/>
  <c r="G99" i="50484"/>
  <c r="E100" i="50484"/>
  <c r="F100" i="50484"/>
  <c r="G100" i="50484"/>
  <c r="E101" i="50484"/>
  <c r="F101" i="50484"/>
  <c r="G101" i="50484"/>
  <c r="E102" i="50484"/>
  <c r="F102" i="50484"/>
  <c r="G102" i="50484"/>
  <c r="E103" i="50484"/>
  <c r="F103" i="50484"/>
  <c r="G103" i="50484"/>
  <c r="E104" i="50484"/>
  <c r="F104" i="50484"/>
  <c r="G104" i="50484"/>
  <c r="E105" i="50484"/>
  <c r="F105" i="50484"/>
  <c r="G105" i="50484"/>
  <c r="E106" i="50484"/>
  <c r="F106" i="50484"/>
  <c r="G106" i="50484"/>
  <c r="E107" i="50484"/>
  <c r="F107" i="50484"/>
  <c r="G107" i="50484"/>
  <c r="E108" i="50484"/>
  <c r="F108" i="50484"/>
  <c r="G108" i="50484"/>
  <c r="E109" i="50484"/>
  <c r="F109" i="50484"/>
  <c r="G109" i="50484"/>
  <c r="F72" i="50484"/>
  <c r="I72" i="50484" s="1"/>
  <c r="G72" i="50484"/>
  <c r="J72" i="50484" s="1"/>
  <c r="G73" i="50484"/>
  <c r="J73" i="50484" s="1"/>
  <c r="F73" i="50484"/>
  <c r="I73" i="50484" s="1"/>
  <c r="E73" i="50484"/>
  <c r="H73" i="50484" s="1"/>
  <c r="D14" i="50493"/>
  <c r="C65" i="50478" s="1"/>
  <c r="C79" i="50478" s="1"/>
  <c r="D15" i="50493"/>
  <c r="C66" i="50478" s="1"/>
  <c r="C80" i="50478" s="1"/>
  <c r="D16" i="50493"/>
  <c r="C67" i="50478" s="1"/>
  <c r="D81" i="50478" s="1"/>
  <c r="D17" i="50493"/>
  <c r="D18" i="50493"/>
  <c r="C68" i="50478" s="1"/>
  <c r="C82" i="50478" s="1"/>
  <c r="C25" i="50491"/>
  <c r="G52" i="50477" s="1"/>
  <c r="A72" i="50484"/>
  <c r="B72" i="50484"/>
  <c r="A73" i="50484"/>
  <c r="B73" i="50484"/>
  <c r="C73" i="50484"/>
  <c r="A74" i="50484"/>
  <c r="B74" i="50484"/>
  <c r="C74" i="50484"/>
  <c r="A75" i="50484"/>
  <c r="B75" i="50484"/>
  <c r="C75" i="50484"/>
  <c r="F75" i="50484"/>
  <c r="I75" i="50484"/>
  <c r="A76" i="50484"/>
  <c r="B76" i="50484"/>
  <c r="C76" i="50484"/>
  <c r="A77" i="50484"/>
  <c r="B77" i="50484"/>
  <c r="C77" i="50484"/>
  <c r="A78" i="50484"/>
  <c r="B78" i="50484"/>
  <c r="C78" i="50484"/>
  <c r="A79" i="50484"/>
  <c r="B79" i="50484"/>
  <c r="C79" i="50484"/>
  <c r="A80" i="50484"/>
  <c r="B80" i="50484"/>
  <c r="C80" i="50484"/>
  <c r="A81" i="50484"/>
  <c r="B81" i="50484"/>
  <c r="C81" i="50484"/>
  <c r="A82" i="50484"/>
  <c r="B82" i="50484"/>
  <c r="C82" i="50484"/>
  <c r="A83" i="50484"/>
  <c r="B83" i="50484"/>
  <c r="C83" i="50484"/>
  <c r="A84" i="50484"/>
  <c r="B84" i="50484"/>
  <c r="C84" i="50484"/>
  <c r="A85" i="50484"/>
  <c r="B85" i="50484"/>
  <c r="C85" i="50484"/>
  <c r="A86" i="50484"/>
  <c r="B86" i="50484"/>
  <c r="C86" i="50484"/>
  <c r="A87" i="50484"/>
  <c r="B87" i="50484"/>
  <c r="C87" i="50484"/>
  <c r="A88" i="50484"/>
  <c r="B88" i="50484"/>
  <c r="C88" i="50484"/>
  <c r="A89" i="50484"/>
  <c r="B89" i="50484"/>
  <c r="C89" i="50484"/>
  <c r="A90" i="50484"/>
  <c r="B90" i="50484"/>
  <c r="C90" i="50484"/>
  <c r="A91" i="50484"/>
  <c r="B91" i="50484"/>
  <c r="C91" i="50484"/>
  <c r="A92" i="50484"/>
  <c r="B92" i="50484"/>
  <c r="C92" i="50484"/>
  <c r="A93" i="50484"/>
  <c r="B93" i="50484"/>
  <c r="C93" i="50484"/>
  <c r="A94" i="50484"/>
  <c r="B94" i="50484"/>
  <c r="C94" i="50484"/>
  <c r="A95" i="50484"/>
  <c r="B95" i="50484"/>
  <c r="C95" i="50484"/>
  <c r="A96" i="50484"/>
  <c r="B96" i="50484"/>
  <c r="C96" i="50484"/>
  <c r="A97" i="50484"/>
  <c r="B97" i="50484"/>
  <c r="C97" i="50484"/>
  <c r="A98" i="50484"/>
  <c r="B98" i="50484"/>
  <c r="C98" i="50484"/>
  <c r="A99" i="50484"/>
  <c r="B99" i="50484"/>
  <c r="C99" i="50484"/>
  <c r="A100" i="50484"/>
  <c r="B100" i="50484"/>
  <c r="C100" i="50484"/>
  <c r="A101" i="50484"/>
  <c r="B101" i="50484"/>
  <c r="C101" i="50484"/>
  <c r="A102" i="50484"/>
  <c r="B102" i="50484"/>
  <c r="C102" i="50484"/>
  <c r="A103" i="50484"/>
  <c r="B103" i="50484"/>
  <c r="C103" i="50484"/>
  <c r="A104" i="50484"/>
  <c r="B104" i="50484"/>
  <c r="C104" i="50484"/>
  <c r="A105" i="50484"/>
  <c r="B105" i="50484"/>
  <c r="C105" i="50484"/>
  <c r="A106" i="50484"/>
  <c r="B106" i="50484"/>
  <c r="C106" i="50484"/>
  <c r="A107" i="50484"/>
  <c r="B107" i="50484"/>
  <c r="C107" i="50484"/>
  <c r="A108" i="50484"/>
  <c r="B108" i="50484"/>
  <c r="C108" i="50484"/>
  <c r="A109" i="50484"/>
  <c r="B109" i="50484"/>
  <c r="C109" i="50484"/>
  <c r="E22" i="50479"/>
  <c r="F22" i="50479"/>
  <c r="D23" i="50479"/>
  <c r="G23" i="50479"/>
  <c r="E23" i="50479"/>
  <c r="F23" i="50479" s="1"/>
  <c r="D24" i="50479"/>
  <c r="G24" i="50479"/>
  <c r="E24" i="50479"/>
  <c r="F24" i="50479"/>
  <c r="D25" i="50479"/>
  <c r="G25" i="50479"/>
  <c r="E25" i="50479"/>
  <c r="F25" i="50479" s="1"/>
  <c r="D26" i="50479"/>
  <c r="G26" i="50479"/>
  <c r="E26" i="50479"/>
  <c r="F26" i="50479"/>
  <c r="D27" i="50479"/>
  <c r="G27" i="50479"/>
  <c r="E27" i="50479"/>
  <c r="F27" i="50479" s="1"/>
  <c r="D28" i="50479"/>
  <c r="G28" i="50479"/>
  <c r="E28" i="50479"/>
  <c r="F28" i="50479"/>
  <c r="D29" i="50479"/>
  <c r="G29" i="50479"/>
  <c r="E29" i="50479"/>
  <c r="F29" i="50479" s="1"/>
  <c r="D30" i="50479"/>
  <c r="G30" i="50479"/>
  <c r="E30" i="50479"/>
  <c r="F30" i="50479"/>
  <c r="D31" i="50479"/>
  <c r="G31" i="50479"/>
  <c r="E31" i="50479"/>
  <c r="F31" i="50479" s="1"/>
  <c r="D32" i="50479"/>
  <c r="G32" i="50479"/>
  <c r="E32" i="50479"/>
  <c r="F32" i="50479"/>
  <c r="D33" i="50479"/>
  <c r="G33" i="50479"/>
  <c r="E33" i="50479"/>
  <c r="F33" i="50479"/>
  <c r="D34" i="50479"/>
  <c r="G34" i="50479"/>
  <c r="E34" i="50479"/>
  <c r="F34" i="50479"/>
  <c r="D35" i="50479"/>
  <c r="G35" i="50479"/>
  <c r="E35" i="50479"/>
  <c r="F35" i="50479"/>
  <c r="D36" i="50479"/>
  <c r="G36" i="50479"/>
  <c r="E36" i="50479"/>
  <c r="F36" i="50479"/>
  <c r="D37" i="50479"/>
  <c r="G37" i="50479"/>
  <c r="E37" i="50479"/>
  <c r="F37" i="50479"/>
  <c r="F70" i="50482"/>
  <c r="D76" i="50481"/>
  <c r="R77" i="50481"/>
  <c r="S77" i="50481"/>
  <c r="V77" i="50481"/>
  <c r="W77" i="50481"/>
  <c r="X77" i="50481"/>
  <c r="Y77" i="50481"/>
  <c r="Q78" i="50481"/>
  <c r="S78" i="50481"/>
  <c r="T78" i="50481"/>
  <c r="U78" i="50481"/>
  <c r="V78" i="50481"/>
  <c r="W78" i="50481"/>
  <c r="X78" i="50481"/>
  <c r="Y78" i="50481"/>
  <c r="Q79" i="50481"/>
  <c r="R79" i="50481"/>
  <c r="S79" i="50481"/>
  <c r="T79" i="50481"/>
  <c r="U79" i="50481"/>
  <c r="V79" i="50481"/>
  <c r="W79" i="50481"/>
  <c r="X79" i="50481"/>
  <c r="Y79" i="50481"/>
  <c r="Q80" i="50481"/>
  <c r="R80" i="50481"/>
  <c r="S80" i="50481"/>
  <c r="T80" i="50481"/>
  <c r="U80" i="50481"/>
  <c r="V80" i="50481"/>
  <c r="W80" i="50481"/>
  <c r="X80" i="50481"/>
  <c r="Y80" i="50481"/>
  <c r="Q81" i="50481"/>
  <c r="R81" i="50481"/>
  <c r="S81" i="50481"/>
  <c r="T81" i="50481"/>
  <c r="U81" i="50481"/>
  <c r="V81" i="50481"/>
  <c r="W81" i="50481"/>
  <c r="X81" i="50481"/>
  <c r="Y81" i="50481"/>
  <c r="Q82" i="50481"/>
  <c r="R82" i="50481"/>
  <c r="S82" i="50481"/>
  <c r="T82" i="50481"/>
  <c r="U82" i="50481"/>
  <c r="V82" i="50481"/>
  <c r="W82" i="50481"/>
  <c r="X82" i="50481"/>
  <c r="Y82" i="50481"/>
  <c r="Q83" i="50481"/>
  <c r="R83" i="50481"/>
  <c r="S83" i="50481"/>
  <c r="T83" i="50481"/>
  <c r="U83" i="50481"/>
  <c r="V83" i="50481"/>
  <c r="W83" i="50481"/>
  <c r="X83" i="50481"/>
  <c r="Y83" i="50481"/>
  <c r="Q84" i="50481"/>
  <c r="R84" i="50481"/>
  <c r="S84" i="50481"/>
  <c r="T84" i="50481"/>
  <c r="U84" i="50481"/>
  <c r="V84" i="50481"/>
  <c r="W84" i="50481"/>
  <c r="X84" i="50481"/>
  <c r="Y84" i="50481"/>
  <c r="Q85" i="50481"/>
  <c r="R85" i="50481"/>
  <c r="S85" i="50481"/>
  <c r="T85" i="50481"/>
  <c r="U85" i="50481"/>
  <c r="V85" i="50481"/>
  <c r="W85" i="50481"/>
  <c r="X85" i="50481"/>
  <c r="Y85" i="50481"/>
  <c r="Q86" i="50481"/>
  <c r="R86" i="50481"/>
  <c r="S86" i="50481"/>
  <c r="T86" i="50481"/>
  <c r="U86" i="50481"/>
  <c r="V86" i="50481"/>
  <c r="W86" i="50481"/>
  <c r="X86" i="50481"/>
  <c r="Y86" i="50481"/>
  <c r="Q87" i="50481"/>
  <c r="R87" i="50481"/>
  <c r="S87" i="50481"/>
  <c r="T87" i="50481"/>
  <c r="U87" i="50481"/>
  <c r="V87" i="50481"/>
  <c r="W87" i="50481"/>
  <c r="X87" i="50481"/>
  <c r="Y87" i="50481"/>
  <c r="Q88" i="50481"/>
  <c r="R88" i="50481"/>
  <c r="S88" i="50481"/>
  <c r="T88" i="50481"/>
  <c r="U88" i="50481"/>
  <c r="V88" i="50481"/>
  <c r="W88" i="50481"/>
  <c r="X88" i="50481"/>
  <c r="Y88" i="50481"/>
  <c r="Q89" i="50481"/>
  <c r="R89" i="50481"/>
  <c r="S89" i="50481"/>
  <c r="T89" i="50481"/>
  <c r="U89" i="50481"/>
  <c r="V89" i="50481"/>
  <c r="W89" i="50481"/>
  <c r="X89" i="50481"/>
  <c r="Y89" i="50481"/>
  <c r="R90" i="50481"/>
  <c r="S90" i="50481"/>
  <c r="T90" i="50481"/>
  <c r="U90" i="50481"/>
  <c r="V90" i="50481"/>
  <c r="W90" i="50481"/>
  <c r="X90" i="50481"/>
  <c r="Y90" i="50481"/>
  <c r="Q91" i="50481"/>
  <c r="R91" i="50481"/>
  <c r="S91" i="50481"/>
  <c r="T91" i="50481"/>
  <c r="U91" i="50481"/>
  <c r="V91" i="50481"/>
  <c r="W91" i="50481"/>
  <c r="X91" i="50481"/>
  <c r="Y91" i="50481"/>
  <c r="Q92" i="50481"/>
  <c r="R92" i="50481"/>
  <c r="S92" i="50481"/>
  <c r="T92" i="50481"/>
  <c r="U92" i="50481"/>
  <c r="V92" i="50481"/>
  <c r="W92" i="50481"/>
  <c r="X92" i="50481"/>
  <c r="Y92" i="50481"/>
  <c r="Q93" i="50481"/>
  <c r="R93" i="50481"/>
  <c r="S93" i="50481"/>
  <c r="T93" i="50481"/>
  <c r="U93" i="50481"/>
  <c r="V93" i="50481"/>
  <c r="W93" i="50481"/>
  <c r="X93" i="50481"/>
  <c r="Y93" i="50481"/>
  <c r="Q94" i="50481"/>
  <c r="R94" i="50481"/>
  <c r="S94" i="50481"/>
  <c r="T94" i="50481"/>
  <c r="U94" i="50481"/>
  <c r="V94" i="50481"/>
  <c r="W94" i="50481"/>
  <c r="X94" i="50481"/>
  <c r="Y94" i="50481"/>
  <c r="Q95" i="50481"/>
  <c r="R95" i="50481"/>
  <c r="S95" i="50481"/>
  <c r="T95" i="50481"/>
  <c r="U95" i="50481"/>
  <c r="V95" i="50481"/>
  <c r="W95" i="50481"/>
  <c r="X95" i="50481"/>
  <c r="Y95" i="50481"/>
  <c r="Q96" i="50481"/>
  <c r="R96" i="50481"/>
  <c r="S96" i="50481"/>
  <c r="T96" i="50481"/>
  <c r="U96" i="50481"/>
  <c r="V96" i="50481"/>
  <c r="W96" i="50481"/>
  <c r="X96" i="50481"/>
  <c r="Y96" i="50481"/>
  <c r="Q97" i="50481"/>
  <c r="R97" i="50481"/>
  <c r="S97" i="50481"/>
  <c r="T97" i="50481"/>
  <c r="U97" i="50481"/>
  <c r="V97" i="50481"/>
  <c r="W97" i="50481"/>
  <c r="X97" i="50481"/>
  <c r="Y97" i="50481"/>
  <c r="Q98" i="50481"/>
  <c r="R98" i="50481"/>
  <c r="S98" i="50481"/>
  <c r="T98" i="50481"/>
  <c r="U98" i="50481"/>
  <c r="V98" i="50481"/>
  <c r="W98" i="50481"/>
  <c r="X98" i="50481"/>
  <c r="Y98" i="50481"/>
  <c r="Q99" i="50481"/>
  <c r="R99" i="50481"/>
  <c r="S99" i="50481"/>
  <c r="T99" i="50481"/>
  <c r="U99" i="50481"/>
  <c r="V99" i="50481"/>
  <c r="W99" i="50481"/>
  <c r="X99" i="50481"/>
  <c r="Y99" i="50481"/>
  <c r="Q100" i="50481"/>
  <c r="R100" i="50481"/>
  <c r="S100" i="50481"/>
  <c r="T100" i="50481"/>
  <c r="U100" i="50481"/>
  <c r="V100" i="50481"/>
  <c r="W100" i="50481"/>
  <c r="X100" i="50481"/>
  <c r="Y100" i="50481"/>
  <c r="Q101" i="50481"/>
  <c r="R101" i="50481"/>
  <c r="S101" i="50481"/>
  <c r="T101" i="50481"/>
  <c r="U101" i="50481"/>
  <c r="V101" i="50481"/>
  <c r="W101" i="50481"/>
  <c r="X101" i="50481"/>
  <c r="Y101" i="50481"/>
  <c r="Q102" i="50481"/>
  <c r="R102" i="50481"/>
  <c r="S102" i="50481"/>
  <c r="T102" i="50481"/>
  <c r="U102" i="50481"/>
  <c r="V102" i="50481"/>
  <c r="W102" i="50481"/>
  <c r="X102" i="50481"/>
  <c r="Y102" i="50481"/>
  <c r="Q103" i="50481"/>
  <c r="R103" i="50481"/>
  <c r="S103" i="50481"/>
  <c r="T103" i="50481"/>
  <c r="U103" i="50481"/>
  <c r="V103" i="50481"/>
  <c r="W103" i="50481"/>
  <c r="X103" i="50481"/>
  <c r="Y103" i="50481"/>
  <c r="Q104" i="50481"/>
  <c r="R104" i="50481"/>
  <c r="S104" i="50481"/>
  <c r="T104" i="50481"/>
  <c r="U104" i="50481"/>
  <c r="V104" i="50481"/>
  <c r="W104" i="50481"/>
  <c r="X104" i="50481"/>
  <c r="Y104" i="50481"/>
  <c r="Q105" i="50481"/>
  <c r="R105" i="50481"/>
  <c r="S105" i="50481"/>
  <c r="T105" i="50481"/>
  <c r="U105" i="50481"/>
  <c r="V105" i="50481"/>
  <c r="W105" i="50481"/>
  <c r="X105" i="50481"/>
  <c r="Y105" i="50481"/>
  <c r="Q106" i="50481"/>
  <c r="R106" i="50481"/>
  <c r="S106" i="50481"/>
  <c r="T106" i="50481"/>
  <c r="U106" i="50481"/>
  <c r="V106" i="50481"/>
  <c r="W106" i="50481"/>
  <c r="X106" i="50481"/>
  <c r="Y106" i="50481"/>
  <c r="Q107" i="50481"/>
  <c r="R107" i="50481"/>
  <c r="S107" i="50481"/>
  <c r="T107" i="50481"/>
  <c r="U107" i="50481"/>
  <c r="V107" i="50481"/>
  <c r="W107" i="50481"/>
  <c r="X107" i="50481"/>
  <c r="Y107" i="50481"/>
  <c r="Q108" i="50481"/>
  <c r="R108" i="50481"/>
  <c r="S108" i="50481"/>
  <c r="T108" i="50481"/>
  <c r="U108" i="50481"/>
  <c r="V108" i="50481"/>
  <c r="W108" i="50481"/>
  <c r="X108" i="50481"/>
  <c r="Y108" i="50481"/>
  <c r="Q109" i="50481"/>
  <c r="R109" i="50481"/>
  <c r="S109" i="50481"/>
  <c r="T109" i="50481"/>
  <c r="U109" i="50481"/>
  <c r="V109" i="50481"/>
  <c r="W109" i="50481"/>
  <c r="X109" i="50481"/>
  <c r="Y109" i="50481"/>
  <c r="Q110" i="50481"/>
  <c r="R110" i="50481"/>
  <c r="S110" i="50481"/>
  <c r="T110" i="50481"/>
  <c r="U110" i="50481"/>
  <c r="V110" i="50481"/>
  <c r="W110" i="50481"/>
  <c r="X110" i="50481"/>
  <c r="Y110" i="50481"/>
  <c r="Q111" i="50481"/>
  <c r="R111" i="50481"/>
  <c r="S111" i="50481"/>
  <c r="T111" i="50481"/>
  <c r="U111" i="50481"/>
  <c r="V111" i="50481"/>
  <c r="W111" i="50481"/>
  <c r="X111" i="50481"/>
  <c r="Y111" i="50481"/>
  <c r="Q112" i="50481"/>
  <c r="R112" i="50481"/>
  <c r="S112" i="50481"/>
  <c r="T112" i="50481"/>
  <c r="U112" i="50481"/>
  <c r="V112" i="50481"/>
  <c r="W112" i="50481"/>
  <c r="X112" i="50481"/>
  <c r="Y112" i="50481"/>
  <c r="Q113" i="50481"/>
  <c r="R113" i="50481"/>
  <c r="S113" i="50481"/>
  <c r="T113" i="50481"/>
  <c r="U113" i="50481"/>
  <c r="V113" i="50481"/>
  <c r="W113" i="50481"/>
  <c r="X113" i="50481"/>
  <c r="Y113" i="50481"/>
  <c r="Q114" i="50481"/>
  <c r="R114" i="50481"/>
  <c r="S114" i="50481"/>
  <c r="T114" i="50481"/>
  <c r="U114" i="50481"/>
  <c r="V114" i="50481"/>
  <c r="W114" i="50481"/>
  <c r="X114" i="50481"/>
  <c r="Y114" i="50481"/>
  <c r="F19" i="50480"/>
  <c r="F21" i="50480"/>
  <c r="F24" i="50480"/>
  <c r="F25" i="50480"/>
  <c r="F26" i="50480"/>
  <c r="F27" i="50480"/>
  <c r="F28" i="50480"/>
  <c r="F29" i="50480"/>
  <c r="F30" i="50480"/>
  <c r="F31" i="50480"/>
  <c r="F32" i="50480"/>
  <c r="F33" i="50480"/>
  <c r="F34" i="50480"/>
  <c r="F35" i="50480"/>
  <c r="F36" i="50480"/>
  <c r="F37" i="50480"/>
  <c r="F38" i="50480"/>
  <c r="F39" i="50480"/>
  <c r="F40" i="50480"/>
  <c r="F41" i="50480"/>
  <c r="F42" i="50480"/>
  <c r="F43" i="50480"/>
  <c r="F44" i="50480"/>
  <c r="F45" i="50480"/>
  <c r="F46" i="50480"/>
  <c r="F47" i="50480"/>
  <c r="F50" i="50480"/>
  <c r="F51" i="50480"/>
  <c r="F52" i="50480"/>
  <c r="F53" i="50480"/>
  <c r="D72" i="50480"/>
  <c r="F72" i="50480" s="1"/>
  <c r="D74" i="50480"/>
  <c r="F74" i="50480" s="1"/>
  <c r="D75" i="50480"/>
  <c r="F75" i="50480" s="1"/>
  <c r="F78" i="50480"/>
  <c r="D79" i="50480"/>
  <c r="F79" i="50480" s="1"/>
  <c r="R78" i="50481"/>
  <c r="G22" i="50479"/>
  <c r="D29" i="50493"/>
  <c r="D38" i="50479"/>
  <c r="G38" i="50479"/>
  <c r="C114" i="50496"/>
  <c r="E112" i="50496"/>
  <c r="C151" i="50486"/>
  <c r="T77" i="50481"/>
  <c r="D39" i="50479" l="1"/>
  <c r="D8" i="50493"/>
  <c r="D9" i="50493" s="1"/>
  <c r="C159" i="50486"/>
  <c r="E159" i="50486"/>
  <c r="D159" i="50486"/>
  <c r="E158" i="50486"/>
  <c r="E156" i="50486"/>
  <c r="C158" i="50486"/>
  <c r="C156" i="50486"/>
  <c r="C154" i="50486"/>
  <c r="E157" i="50486"/>
  <c r="E155" i="50486"/>
  <c r="D157" i="50486"/>
  <c r="D155" i="50486"/>
  <c r="C157" i="50486"/>
  <c r="C155" i="50486"/>
  <c r="C161" i="50486"/>
  <c r="E161" i="50486"/>
  <c r="D161" i="50486"/>
  <c r="C162" i="50486"/>
  <c r="E162" i="50486"/>
  <c r="D162" i="50486"/>
  <c r="D160" i="50486"/>
  <c r="C160" i="50486"/>
  <c r="F90" i="50480"/>
  <c r="E90" i="50480"/>
  <c r="F116" i="50480"/>
  <c r="E116" i="50480"/>
  <c r="F146" i="50480"/>
  <c r="E146" i="50480"/>
  <c r="F122" i="50480"/>
  <c r="E122" i="50480"/>
  <c r="F98" i="50480"/>
  <c r="E98" i="50480"/>
  <c r="E135" i="50480"/>
  <c r="F135" i="50480"/>
  <c r="E87" i="50480"/>
  <c r="F87" i="50480"/>
  <c r="E91" i="50480"/>
  <c r="F91" i="50480"/>
  <c r="E119" i="50480"/>
  <c r="F119" i="50480"/>
  <c r="E115" i="50480"/>
  <c r="F115" i="50480"/>
  <c r="E111" i="50480"/>
  <c r="F111" i="50480"/>
  <c r="E145" i="50480"/>
  <c r="F145" i="50480"/>
  <c r="F140" i="50480"/>
  <c r="E140" i="50480"/>
  <c r="F138" i="50480"/>
  <c r="E138" i="50480"/>
  <c r="E121" i="50480"/>
  <c r="F121" i="50480"/>
  <c r="F150" i="50480"/>
  <c r="E150" i="50480"/>
  <c r="E97" i="50480"/>
  <c r="F97" i="50480"/>
  <c r="E137" i="50480"/>
  <c r="F137" i="50480"/>
  <c r="F86" i="50480"/>
  <c r="E86" i="50480"/>
  <c r="F94" i="50480"/>
  <c r="E94" i="50480"/>
  <c r="F142" i="50480"/>
  <c r="E142" i="50480"/>
  <c r="F88" i="50480"/>
  <c r="E88" i="50480"/>
  <c r="F92" i="50480"/>
  <c r="E92" i="50480"/>
  <c r="F118" i="50480"/>
  <c r="E118" i="50480"/>
  <c r="F114" i="50480"/>
  <c r="E114" i="50480"/>
  <c r="F110" i="50480"/>
  <c r="E110" i="50480"/>
  <c r="F144" i="50480"/>
  <c r="E144" i="50480"/>
  <c r="E139" i="50480"/>
  <c r="F139" i="50480"/>
  <c r="F120" i="50480"/>
  <c r="E120" i="50480"/>
  <c r="E149" i="50480"/>
  <c r="F149" i="50480"/>
  <c r="F96" i="50480"/>
  <c r="E96" i="50480"/>
  <c r="F112" i="50480"/>
  <c r="E112" i="50480"/>
  <c r="E141" i="50480"/>
  <c r="F141" i="50480"/>
  <c r="F84" i="50480"/>
  <c r="E84" i="50480"/>
  <c r="E85" i="50480"/>
  <c r="F85" i="50480"/>
  <c r="E89" i="50480"/>
  <c r="F89" i="50480"/>
  <c r="E93" i="50480"/>
  <c r="F93" i="50480"/>
  <c r="E117" i="50480"/>
  <c r="F117" i="50480"/>
  <c r="E113" i="50480"/>
  <c r="F113" i="50480"/>
  <c r="E147" i="50480"/>
  <c r="F147" i="50480"/>
  <c r="E143" i="50480"/>
  <c r="F143" i="50480"/>
  <c r="F136" i="50480"/>
  <c r="E136" i="50480"/>
  <c r="E123" i="50480"/>
  <c r="F123" i="50480"/>
  <c r="F148" i="50480"/>
  <c r="E148" i="50480"/>
  <c r="E95" i="50480"/>
  <c r="F95" i="50480"/>
  <c r="E79" i="50478"/>
  <c r="E152" i="50486"/>
  <c r="D152" i="50486"/>
  <c r="D104" i="50489"/>
  <c r="E104" i="50489"/>
  <c r="C105" i="50489"/>
  <c r="E118" i="50496"/>
  <c r="D118" i="50496"/>
  <c r="D117" i="50496"/>
  <c r="C117" i="50496"/>
  <c r="E114" i="50496"/>
  <c r="C113" i="50496"/>
  <c r="D153" i="50486"/>
  <c r="E153" i="50486"/>
  <c r="C152" i="50486"/>
  <c r="G106" i="50496"/>
  <c r="F53" i="50489"/>
  <c r="K58" i="50483"/>
  <c r="G110" i="50484"/>
  <c r="F108" i="50486"/>
  <c r="G53" i="50489"/>
  <c r="E97" i="50489"/>
  <c r="E55" i="50486"/>
  <c r="G108" i="50486"/>
  <c r="E108" i="50486"/>
  <c r="E145" i="50486"/>
  <c r="G39" i="50479"/>
  <c r="E47" i="50479" s="1"/>
  <c r="H110" i="50484"/>
  <c r="E30" i="50513"/>
  <c r="G37" i="50477" s="1"/>
  <c r="L58" i="50483"/>
  <c r="I110" i="50484"/>
  <c r="E110" i="50484"/>
  <c r="E53" i="50489"/>
  <c r="M58" i="50483"/>
  <c r="J21" i="50483"/>
  <c r="J58" i="50483" s="1"/>
  <c r="I58" i="50483"/>
  <c r="N58" i="50483"/>
  <c r="G97" i="50489"/>
  <c r="F55" i="50486"/>
  <c r="G145" i="50486"/>
  <c r="F145" i="50486"/>
  <c r="G53" i="50496"/>
  <c r="J110" i="50484"/>
  <c r="F110" i="50484"/>
  <c r="G55" i="50486"/>
  <c r="E53" i="50496"/>
  <c r="F53" i="50496"/>
  <c r="E106" i="50496"/>
  <c r="F106" i="50496"/>
  <c r="F97" i="50489"/>
  <c r="F130" i="50481"/>
  <c r="G35" i="50477" s="1"/>
  <c r="F109" i="50482"/>
  <c r="G36" i="50477" s="1"/>
  <c r="C69" i="50478"/>
  <c r="C83" i="50478" s="1"/>
  <c r="G65" i="50477"/>
  <c r="F76" i="50480"/>
  <c r="D90" i="50478"/>
  <c r="E84" i="50478"/>
  <c r="C85" i="50478"/>
  <c r="D80" i="50478"/>
  <c r="C84" i="50478"/>
  <c r="E80" i="50478"/>
  <c r="E86" i="50478"/>
  <c r="E82" i="50478"/>
  <c r="E85" i="50478"/>
  <c r="C91" i="50478"/>
  <c r="E97" i="50478" s="1"/>
  <c r="G64" i="50477" s="1"/>
  <c r="C81" i="50478"/>
  <c r="D89" i="50478"/>
  <c r="E90" i="50478"/>
  <c r="D86" i="50478"/>
  <c r="D79" i="50478"/>
  <c r="E89" i="50478"/>
  <c r="D87" i="50478"/>
  <c r="E87" i="50478"/>
  <c r="E81" i="50478"/>
  <c r="D82" i="50478"/>
  <c r="D83" i="50478" l="1"/>
  <c r="D88" i="50478" s="1"/>
  <c r="E83" i="50478"/>
  <c r="E88" i="50478" s="1"/>
  <c r="D112" i="50489"/>
  <c r="D121" i="50496"/>
  <c r="G59" i="50477" s="1"/>
  <c r="D165" i="50486"/>
  <c r="G58" i="50477" s="1"/>
  <c r="F113" i="50484"/>
  <c r="G41" i="50477" s="1"/>
  <c r="E64" i="50483"/>
  <c r="G44" i="50477" s="1"/>
  <c r="E63" i="50483"/>
  <c r="G40" i="50477" s="1"/>
  <c r="F114" i="50484"/>
  <c r="G45" i="50477" s="1"/>
  <c r="E91" i="50478"/>
  <c r="C88" i="50478"/>
  <c r="C92" i="50478" s="1"/>
  <c r="D91" i="50478"/>
  <c r="E92" i="50478" l="1"/>
  <c r="D92" i="50478"/>
  <c r="E95" i="50478"/>
  <c r="G33" i="50477" s="1"/>
  <c r="F71" i="50480" l="1"/>
  <c r="E218" i="50480" s="1"/>
  <c r="G34" i="50477" l="1"/>
  <c r="G49" i="50477" l="1"/>
  <c r="G55" i="50477" s="1"/>
  <c r="G48" i="50477"/>
  <c r="G54" i="5047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Katie Smith</author>
  </authors>
  <commentList>
    <comment ref="B22" authorId="0" shapeId="0" xr:uid="{00000000-0006-0000-1200-000001000000}">
      <text>
        <r>
          <rPr>
            <sz val="8"/>
            <color indexed="81"/>
            <rFont val="Tahoma"/>
            <family val="2"/>
          </rPr>
          <t>Biomass CO2 emissions are not reported as part of steam emissions.</t>
        </r>
      </text>
    </comment>
    <comment ref="B23" authorId="0" shapeId="0" xr:uid="{00000000-0006-0000-1200-000002000000}">
      <text>
        <r>
          <rPr>
            <sz val="8"/>
            <color indexed="81"/>
            <rFont val="Tahoma"/>
            <family val="2"/>
          </rPr>
          <t>Biomass CO2 emissions are not reported as part of steam emissions.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Smith, Katie</author>
  </authors>
  <commentList>
    <comment ref="A39" authorId="0" shapeId="0" xr:uid="{00000000-0006-0000-1C00-000001000000}">
      <text>
        <r>
          <rPr>
            <sz val="9"/>
            <color indexed="81"/>
            <rFont val="Tahoma"/>
            <family val="2"/>
          </rPr>
          <t>There are two rows for one building in order to allocate the market-based emissions to the appropriate kWh.</t>
        </r>
      </text>
    </comment>
    <comment ref="E39" authorId="0" shapeId="0" xr:uid="{00000000-0006-0000-1C00-000002000000}">
      <text>
        <r>
          <rPr>
            <sz val="9"/>
            <color indexed="81"/>
            <rFont val="Tahoma"/>
            <family val="2"/>
          </rPr>
          <t>The total kWh adds up to facility's total consumption.  Be careful not to double count kWh.</t>
        </r>
      </text>
    </comment>
    <comment ref="H42" authorId="0" shapeId="0" xr:uid="{00000000-0006-0000-1C00-000003000000}">
      <text>
        <r>
          <rPr>
            <sz val="9"/>
            <color indexed="81"/>
            <rFont val="Tahoma"/>
            <family val="2"/>
          </rPr>
          <t xml:space="preserve">Emission factors for these RECs are zero.  Depending on the instrument used, the factors may be greater than zero. </t>
        </r>
      </text>
    </comment>
    <comment ref="H43" authorId="0" shapeId="0" xr:uid="{00000000-0006-0000-1C00-000004000000}">
      <text>
        <r>
          <rPr>
            <sz val="9"/>
            <color indexed="81"/>
            <rFont val="Tahoma"/>
            <family val="2"/>
          </rPr>
          <t xml:space="preserve">No need to enter market-based emission factors in this row. </t>
        </r>
      </text>
    </comment>
  </commentList>
</comments>
</file>

<file path=xl/sharedStrings.xml><?xml version="1.0" encoding="utf-8"?>
<sst xmlns="http://schemas.openxmlformats.org/spreadsheetml/2006/main" count="3465" uniqueCount="1405">
  <si>
    <t>Source Description</t>
  </si>
  <si>
    <t xml:space="preserve">                  - Select the "Type of Equipment" (closest available) and "Gas" from the drop down box.</t>
  </si>
  <si>
    <t xml:space="preserve">                  - Capacity = sum of the full capacity for all units (do not include new units pre-charged by manufacturer). </t>
  </si>
  <si>
    <t>Passenger Car</t>
  </si>
  <si>
    <t>Light-Duty Truck</t>
  </si>
  <si>
    <t>Motorcycle</t>
  </si>
  <si>
    <t>Short Haul (&lt; 300 miles)</t>
  </si>
  <si>
    <r>
      <t>Table 3.  Source Level Fire Suppression Gas CO</t>
    </r>
    <r>
      <rPr>
        <b/>
        <vertAlign val="subscript"/>
        <sz val="10"/>
        <rFont val="Arial"/>
        <family val="2"/>
      </rPr>
      <t>2</t>
    </r>
    <r>
      <rPr>
        <b/>
        <sz val="10"/>
        <rFont val="Arial"/>
        <family val="2"/>
      </rPr>
      <t xml:space="preserve"> Equivalent Emissions - Screening Method</t>
    </r>
  </si>
  <si>
    <t>JD-001</t>
  </si>
  <si>
    <t>John Doe 1</t>
  </si>
  <si>
    <t>Employee Business Travel</t>
  </si>
  <si>
    <t>1988-1989</t>
  </si>
  <si>
    <t>1990-1995</t>
  </si>
  <si>
    <t>1960-1982</t>
  </si>
  <si>
    <t>1983-1995</t>
  </si>
  <si>
    <t>1996-present</t>
  </si>
  <si>
    <t>Usage</t>
  </si>
  <si>
    <t>Compressed Natural Gas (CNG)</t>
  </si>
  <si>
    <t>Operating</t>
  </si>
  <si>
    <t>Bldg-012</t>
  </si>
  <si>
    <t>Formula Selection for Type of Equipment</t>
  </si>
  <si>
    <t>CHOICES FOR REFRIGERANT</t>
  </si>
  <si>
    <t xml:space="preserve">CO2 </t>
  </si>
  <si>
    <t>Medium and large commercial refrigeration units (capacity 50 to 2,000 kg)</t>
  </si>
  <si>
    <t xml:space="preserve">                  - Inventory Change = difference of gas stored in inventory from beginning to end of reporting period.</t>
  </si>
  <si>
    <t xml:space="preserve">                  - Transferred Amount = gas purchased minus gas sold/disposed during reporting period.</t>
  </si>
  <si>
    <t xml:space="preserve">                    (Includes only gas stored on-site (i.e. cylinders) and not gas contained within equipment).</t>
  </si>
  <si>
    <t xml:space="preserve">                      -- Gas purchased includes:  Purchases for inventory, as part of equipment servicing (not from inventory)</t>
  </si>
  <si>
    <t xml:space="preserve">                         within purchased equipment and gas returned to the site after off-site recycling.</t>
  </si>
  <si>
    <t xml:space="preserve">                      -- Gas sold/disposed includes:  Returns to supplier, sales or disposals (including within equipment), </t>
  </si>
  <si>
    <t xml:space="preserve">                         and gas sent off-site for recycling, reclamation, or destruction.</t>
  </si>
  <si>
    <t>Gas</t>
  </si>
  <si>
    <t>Unit</t>
  </si>
  <si>
    <t xml:space="preserve">                  - Enter "Type of Equipment" (Fixed or Portable) and select "Gas Type" from the drop down box.</t>
  </si>
  <si>
    <t>Equipment</t>
  </si>
  <si>
    <t xml:space="preserve">Type of </t>
  </si>
  <si>
    <t>(Fixed/Portable)</t>
  </si>
  <si>
    <t>Fixed</t>
  </si>
  <si>
    <t xml:space="preserve">                  - Enter capacity (by gas type) for all units that operated during reporting period.</t>
  </si>
  <si>
    <t xml:space="preserve">                      -- If data entered for multiple units, sum the capacities for all units.</t>
  </si>
  <si>
    <t xml:space="preserve">                      -- For each unit added or removed during reporting period, multiply its capacity by a usage factor (0.0 to 1.0).</t>
  </si>
  <si>
    <t>Table 1.  Total Amount of Electricity Purchased by eGRID Subregion</t>
  </si>
  <si>
    <t>(kWh)</t>
  </si>
  <si>
    <r>
      <t>CO</t>
    </r>
    <r>
      <rPr>
        <b/>
        <vertAlign val="subscript"/>
        <sz val="10"/>
        <rFont val="Arial"/>
        <family val="2"/>
      </rPr>
      <t>2</t>
    </r>
    <r>
      <rPr>
        <b/>
        <sz val="10"/>
        <rFont val="Arial"/>
        <family val="2"/>
      </rPr>
      <t xml:space="preserve"> Factor</t>
    </r>
  </si>
  <si>
    <r>
      <t>CH</t>
    </r>
    <r>
      <rPr>
        <b/>
        <vertAlign val="subscript"/>
        <sz val="10"/>
        <rFont val="Arial"/>
        <family val="2"/>
      </rPr>
      <t>4</t>
    </r>
    <r>
      <rPr>
        <b/>
        <sz val="10"/>
        <rFont val="Arial"/>
        <family val="2"/>
      </rPr>
      <t xml:space="preserve"> Factor</t>
    </r>
  </si>
  <si>
    <r>
      <t>N</t>
    </r>
    <r>
      <rPr>
        <b/>
        <vertAlign val="subscript"/>
        <sz val="10"/>
        <rFont val="Arial"/>
        <family val="2"/>
      </rPr>
      <t>2</t>
    </r>
    <r>
      <rPr>
        <b/>
        <sz val="10"/>
        <rFont val="Arial"/>
        <family val="2"/>
      </rPr>
      <t>O Factor</t>
    </r>
  </si>
  <si>
    <t>AKMS (ASCC Miscellaneous)</t>
  </si>
  <si>
    <t>AKGD (ASCC Alaska Grid)</t>
  </si>
  <si>
    <t>AZNM (WECC Southwest)</t>
  </si>
  <si>
    <t>CAMX (WECC California)</t>
  </si>
  <si>
    <t>ERCT (ERCOT All)</t>
  </si>
  <si>
    <t>FRCC (FRCC All)</t>
  </si>
  <si>
    <t>HIMS (HICC Miscellaneous)</t>
  </si>
  <si>
    <t>HIOA (HICC Oahu)</t>
  </si>
  <si>
    <t>MROW (MRO West)</t>
  </si>
  <si>
    <t>NEWE (NPCC New England)</t>
  </si>
  <si>
    <t>NWPP (WECC Northwest)</t>
  </si>
  <si>
    <t>NYCW (NPCC NYC/Westchester)</t>
  </si>
  <si>
    <t>NYLI (NPCC Long Island)</t>
  </si>
  <si>
    <t>NYUP (NPCC Upstate NY)</t>
  </si>
  <si>
    <t>RFCE (RFC East)</t>
  </si>
  <si>
    <t>RFCM (RFC Michigan)</t>
  </si>
  <si>
    <t>RFCW (RFC West)</t>
  </si>
  <si>
    <t>RMPA (WECC Rockies)</t>
  </si>
  <si>
    <t>SPNO (SPP North)</t>
  </si>
  <si>
    <t>SPSO (SPP South)</t>
  </si>
  <si>
    <t>SRMV (SERC Mississippi Valley)</t>
  </si>
  <si>
    <t>SRMW (SERC Midwest)</t>
  </si>
  <si>
    <t>SRSO (SERC South)</t>
  </si>
  <si>
    <t>SRTV (SERC Tennessee Valley)</t>
  </si>
  <si>
    <t>SRVC (SERC Virginia/Carolina)</t>
  </si>
  <si>
    <t>eGRID Subregion</t>
  </si>
  <si>
    <t>Petroleum Coke</t>
  </si>
  <si>
    <t>Electricity</t>
  </si>
  <si>
    <t>Purchased</t>
  </si>
  <si>
    <t>Steam</t>
  </si>
  <si>
    <t>Factor</t>
  </si>
  <si>
    <t>(mmBtu)</t>
  </si>
  <si>
    <t>Boiler</t>
  </si>
  <si>
    <t>Table 1.  Fuel, Boiler, Steam and Emission Factor Data for Steam Purchased</t>
  </si>
  <si>
    <t>Total Emissions for All Sources</t>
  </si>
  <si>
    <r>
      <t>(lb CO</t>
    </r>
    <r>
      <rPr>
        <b/>
        <vertAlign val="subscript"/>
        <sz val="10"/>
        <rFont val="Arial"/>
        <family val="2"/>
      </rPr>
      <t>2</t>
    </r>
    <r>
      <rPr>
        <b/>
        <sz val="10"/>
        <rFont val="Arial"/>
        <family val="2"/>
      </rPr>
      <t>/MWh)</t>
    </r>
  </si>
  <si>
    <r>
      <t>(lb CH</t>
    </r>
    <r>
      <rPr>
        <b/>
        <vertAlign val="subscript"/>
        <sz val="10"/>
        <rFont val="Arial"/>
        <family val="2"/>
      </rPr>
      <t>4</t>
    </r>
    <r>
      <rPr>
        <b/>
        <sz val="10"/>
        <rFont val="Arial"/>
        <family val="2"/>
      </rPr>
      <t>/MWh)</t>
    </r>
  </si>
  <si>
    <r>
      <t>(lb N</t>
    </r>
    <r>
      <rPr>
        <b/>
        <vertAlign val="subscript"/>
        <sz val="10"/>
        <rFont val="Arial"/>
        <family val="2"/>
      </rPr>
      <t>2</t>
    </r>
    <r>
      <rPr>
        <b/>
        <sz val="10"/>
        <rFont val="Arial"/>
        <family val="2"/>
      </rPr>
      <t>O/MWh)</t>
    </r>
  </si>
  <si>
    <t xml:space="preserve">                  - New units are those installed during reporting period (do not include any data for new units pre-charged by</t>
  </si>
  <si>
    <t xml:space="preserve">                  - Amount recovered = total gas recovered from all retired units.</t>
  </si>
  <si>
    <t>Charge</t>
  </si>
  <si>
    <t>Recharge</t>
  </si>
  <si>
    <t>Medium/Large Commercial</t>
  </si>
  <si>
    <t>Light-Duty Truck A/C Units</t>
  </si>
  <si>
    <t>Car A/C Units</t>
  </si>
  <si>
    <t>Residential/Commercial A/C</t>
  </si>
  <si>
    <t>Stand-Alone Commercial</t>
  </si>
  <si>
    <t>Commercial chillers (default capacity 10 to 2,000 kg)</t>
  </si>
  <si>
    <t>Domestic refrigeration units (capacity 0.05 to 0.5 kg)</t>
  </si>
  <si>
    <t>Stand alone commercial applications (capacity 0.2 to 6 kg)</t>
  </si>
  <si>
    <t>Transportation refrigeration units (capacity 3 to 8 kg)</t>
  </si>
  <si>
    <t>Industrial, food processing and cold storage units (capacity 10 to 10,000 kg)</t>
  </si>
  <si>
    <t>Residential and commercial units, including heat pumps (capacity 0.5 to 100 kg)</t>
  </si>
  <si>
    <t>BLR-012</t>
  </si>
  <si>
    <r>
      <t>N</t>
    </r>
    <r>
      <rPr>
        <b/>
        <vertAlign val="subscript"/>
        <sz val="10"/>
        <rFont val="Arial"/>
        <family val="2"/>
      </rPr>
      <t>2</t>
    </r>
    <r>
      <rPr>
        <b/>
        <sz val="10"/>
        <rFont val="Arial"/>
        <family val="2"/>
      </rPr>
      <t xml:space="preserve">O </t>
    </r>
  </si>
  <si>
    <r>
      <t>CO</t>
    </r>
    <r>
      <rPr>
        <b/>
        <vertAlign val="subscript"/>
        <sz val="10"/>
        <rFont val="Arial"/>
        <family val="2"/>
      </rPr>
      <t>2</t>
    </r>
  </si>
  <si>
    <r>
      <t>Table 3.  Source Level Refrigeration Gas CO</t>
    </r>
    <r>
      <rPr>
        <b/>
        <vertAlign val="subscript"/>
        <sz val="10"/>
        <rFont val="Arial"/>
        <family val="2"/>
      </rPr>
      <t>2</t>
    </r>
    <r>
      <rPr>
        <b/>
        <sz val="10"/>
        <rFont val="Arial"/>
        <family val="2"/>
      </rPr>
      <t xml:space="preserve"> Equivalent Emissions - Screening Method</t>
    </r>
  </si>
  <si>
    <t>Change</t>
  </si>
  <si>
    <t xml:space="preserve">                  - This number is based on either volume or molar mass percentage for each gas component.</t>
  </si>
  <si>
    <t xml:space="preserve">                  - Capacity Change = capacity of all units at beginning minus capacity of all units at end of reporting period.</t>
  </si>
  <si>
    <t xml:space="preserve">                    (can be assumed to be capacity of new units minus capacity of retired units).</t>
  </si>
  <si>
    <t>Table 1.  Mobile Source Fuel Combustion and Miles Traveled</t>
  </si>
  <si>
    <t>Traveled</t>
  </si>
  <si>
    <t>Liquefied Natural Gas (LNG)</t>
  </si>
  <si>
    <t>Diesel Buses (Diesel Heavy-Duty Vehicles)</t>
  </si>
  <si>
    <t>Inventory</t>
  </si>
  <si>
    <t>Transferred</t>
  </si>
  <si>
    <t>Amount</t>
  </si>
  <si>
    <t>Capacity</t>
  </si>
  <si>
    <r>
      <t>C</t>
    </r>
    <r>
      <rPr>
        <vertAlign val="subscript"/>
        <sz val="10"/>
        <rFont val="Arial"/>
        <family val="2"/>
      </rPr>
      <t>2</t>
    </r>
    <r>
      <rPr>
        <sz val="10"/>
        <rFont val="Arial"/>
        <family val="2"/>
      </rPr>
      <t>F</t>
    </r>
    <r>
      <rPr>
        <vertAlign val="subscript"/>
        <sz val="10"/>
        <rFont val="Arial"/>
        <family val="2"/>
      </rPr>
      <t>6</t>
    </r>
    <r>
      <rPr>
        <sz val="10"/>
        <rFont val="Arial"/>
        <family val="2"/>
      </rPr>
      <t xml:space="preserve"> </t>
    </r>
  </si>
  <si>
    <r>
      <t>SF</t>
    </r>
    <r>
      <rPr>
        <vertAlign val="subscript"/>
        <sz val="10"/>
        <rFont val="Arial"/>
        <family val="2"/>
      </rPr>
      <t>6</t>
    </r>
    <r>
      <rPr>
        <sz val="10"/>
        <rFont val="Arial"/>
        <family val="2"/>
      </rPr>
      <t xml:space="preserve"> </t>
    </r>
  </si>
  <si>
    <t>New Units</t>
  </si>
  <si>
    <t>Existing Units</t>
  </si>
  <si>
    <t>Disposed Units</t>
  </si>
  <si>
    <t>Recovered</t>
  </si>
  <si>
    <t>Disposed</t>
  </si>
  <si>
    <t>Domestic Refrigeration</t>
  </si>
  <si>
    <t>Transport Refrigeration</t>
  </si>
  <si>
    <t>Industrial Refrigeration</t>
  </si>
  <si>
    <t>Chillers</t>
  </si>
  <si>
    <t>Formula</t>
  </si>
  <si>
    <t>Carbon Dioxide</t>
  </si>
  <si>
    <t>Methane</t>
  </si>
  <si>
    <t>HFC-23</t>
  </si>
  <si>
    <t>HFC-32</t>
  </si>
  <si>
    <t>HFC-125</t>
  </si>
  <si>
    <t>HFC-134a</t>
  </si>
  <si>
    <t>HFC-143a</t>
  </si>
  <si>
    <t>HFC-152a</t>
  </si>
  <si>
    <t>HFC-227ea</t>
  </si>
  <si>
    <t>HFC-236fa</t>
  </si>
  <si>
    <t>GWP</t>
  </si>
  <si>
    <t>Notes:</t>
  </si>
  <si>
    <t>Subregion</t>
  </si>
  <si>
    <t>Gasoline Passenger Cars</t>
  </si>
  <si>
    <t>Gasoline Light-Duty Trucks</t>
  </si>
  <si>
    <t>Diesel Heavy-Duty Vehicles</t>
  </si>
  <si>
    <t>Motorcycles</t>
  </si>
  <si>
    <t>Passenger Cars</t>
  </si>
  <si>
    <t>Vehicle Type</t>
  </si>
  <si>
    <t>Combination Trucks</t>
  </si>
  <si>
    <t>Type of Equipment</t>
  </si>
  <si>
    <t>Stationary Combustion</t>
  </si>
  <si>
    <t>Mobile Sources</t>
  </si>
  <si>
    <t>Purchased and Consumed Electricity</t>
  </si>
  <si>
    <t>Purchased and Consumed Steam</t>
  </si>
  <si>
    <t>Employee Commuting</t>
  </si>
  <si>
    <t>Product Transport</t>
  </si>
  <si>
    <t>Mass</t>
  </si>
  <si>
    <t>Volume</t>
  </si>
  <si>
    <t>Energy</t>
  </si>
  <si>
    <t>Distance</t>
  </si>
  <si>
    <t>Other</t>
  </si>
  <si>
    <t>Kilo</t>
  </si>
  <si>
    <t>Mega</t>
  </si>
  <si>
    <t>Giga</t>
  </si>
  <si>
    <t>Tera</t>
  </si>
  <si>
    <t>Source</t>
  </si>
  <si>
    <t>Fuel</t>
  </si>
  <si>
    <t>Quantity</t>
  </si>
  <si>
    <t>ID</t>
  </si>
  <si>
    <t>Description</t>
  </si>
  <si>
    <t>Combusted</t>
  </si>
  <si>
    <t>Units</t>
  </si>
  <si>
    <t>East Power Plant</t>
  </si>
  <si>
    <t>Fuel Type</t>
  </si>
  <si>
    <t>Anthracite Coal</t>
  </si>
  <si>
    <t>Bituminous Coal</t>
  </si>
  <si>
    <t>Sub-bituminous Coal</t>
  </si>
  <si>
    <t>Lignite Coal</t>
  </si>
  <si>
    <t>Natural Gas</t>
  </si>
  <si>
    <t>scf</t>
  </si>
  <si>
    <t>gallons</t>
  </si>
  <si>
    <t>Kerosene</t>
  </si>
  <si>
    <t>Propane</t>
  </si>
  <si>
    <r>
      <t>CO</t>
    </r>
    <r>
      <rPr>
        <b/>
        <vertAlign val="subscript"/>
        <sz val="10"/>
        <rFont val="Arial"/>
        <family val="2"/>
      </rPr>
      <t>2</t>
    </r>
    <r>
      <rPr>
        <b/>
        <sz val="10"/>
        <rFont val="Arial"/>
        <family val="2"/>
      </rPr>
      <t xml:space="preserve"> </t>
    </r>
  </si>
  <si>
    <r>
      <t>CH</t>
    </r>
    <r>
      <rPr>
        <b/>
        <vertAlign val="subscript"/>
        <sz val="10"/>
        <rFont val="Arial"/>
        <family val="2"/>
      </rPr>
      <t>4</t>
    </r>
    <r>
      <rPr>
        <b/>
        <sz val="10"/>
        <rFont val="Arial"/>
        <family val="2"/>
      </rPr>
      <t xml:space="preserve"> </t>
    </r>
  </si>
  <si>
    <r>
      <t>N</t>
    </r>
    <r>
      <rPr>
        <b/>
        <vertAlign val="subscript"/>
        <sz val="10"/>
        <rFont val="Arial"/>
        <family val="2"/>
      </rPr>
      <t>2</t>
    </r>
    <r>
      <rPr>
        <b/>
        <sz val="10"/>
        <rFont val="Arial"/>
        <family val="2"/>
      </rPr>
      <t>O</t>
    </r>
  </si>
  <si>
    <t>Emissions</t>
  </si>
  <si>
    <t>(kg)</t>
  </si>
  <si>
    <t>(g)</t>
  </si>
  <si>
    <t>Total Emissions for all Fuels</t>
  </si>
  <si>
    <t>Table 1.  Stationary Source Fuel Combustion</t>
  </si>
  <si>
    <t>Molar</t>
  </si>
  <si>
    <t>Molecular</t>
  </si>
  <si>
    <t>Percent</t>
  </si>
  <si>
    <t>Carbon</t>
  </si>
  <si>
    <t>Chemical</t>
  </si>
  <si>
    <t>Fraction</t>
  </si>
  <si>
    <t>Weight</t>
  </si>
  <si>
    <t>Component</t>
  </si>
  <si>
    <t>(%)</t>
  </si>
  <si>
    <t>(lb)</t>
  </si>
  <si>
    <t>Carbon Monoxide</t>
  </si>
  <si>
    <t>CO</t>
  </si>
  <si>
    <r>
      <t>CO</t>
    </r>
    <r>
      <rPr>
        <vertAlign val="subscript"/>
        <sz val="10"/>
        <rFont val="Arial"/>
        <family val="2"/>
      </rPr>
      <t>2</t>
    </r>
    <r>
      <rPr>
        <sz val="10"/>
        <rFont val="Arial"/>
        <family val="2"/>
      </rPr>
      <t xml:space="preserve"> </t>
    </r>
  </si>
  <si>
    <r>
      <t>CH</t>
    </r>
    <r>
      <rPr>
        <vertAlign val="subscript"/>
        <sz val="10"/>
        <rFont val="Arial"/>
        <family val="2"/>
      </rPr>
      <t>4</t>
    </r>
    <r>
      <rPr>
        <sz val="10"/>
        <rFont val="Arial"/>
        <family val="2"/>
      </rPr>
      <t xml:space="preserve"> </t>
    </r>
  </si>
  <si>
    <t>Acetylene</t>
  </si>
  <si>
    <r>
      <t>C</t>
    </r>
    <r>
      <rPr>
        <vertAlign val="subscript"/>
        <sz val="10"/>
        <rFont val="Arial"/>
        <family val="2"/>
      </rPr>
      <t>2</t>
    </r>
    <r>
      <rPr>
        <sz val="10"/>
        <rFont val="Arial"/>
        <family val="2"/>
      </rPr>
      <t>H</t>
    </r>
    <r>
      <rPr>
        <vertAlign val="subscript"/>
        <sz val="10"/>
        <rFont val="Arial"/>
        <family val="2"/>
      </rPr>
      <t>2</t>
    </r>
    <r>
      <rPr>
        <sz val="10"/>
        <rFont val="Arial"/>
        <family val="2"/>
      </rPr>
      <t xml:space="preserve"> </t>
    </r>
  </si>
  <si>
    <t>Ethylene</t>
  </si>
  <si>
    <r>
      <t>C</t>
    </r>
    <r>
      <rPr>
        <vertAlign val="subscript"/>
        <sz val="10"/>
        <rFont val="Arial"/>
        <family val="2"/>
      </rPr>
      <t>2</t>
    </r>
    <r>
      <rPr>
        <sz val="10"/>
        <rFont val="Arial"/>
        <family val="2"/>
      </rPr>
      <t>H</t>
    </r>
    <r>
      <rPr>
        <vertAlign val="subscript"/>
        <sz val="10"/>
        <rFont val="Arial"/>
        <family val="2"/>
      </rPr>
      <t>4</t>
    </r>
    <r>
      <rPr>
        <sz val="10"/>
        <rFont val="Arial"/>
        <family val="2"/>
      </rPr>
      <t xml:space="preserve"> </t>
    </r>
  </si>
  <si>
    <t>Ethane</t>
  </si>
  <si>
    <r>
      <t>C</t>
    </r>
    <r>
      <rPr>
        <vertAlign val="subscript"/>
        <sz val="10"/>
        <rFont val="Arial"/>
        <family val="2"/>
      </rPr>
      <t>2</t>
    </r>
    <r>
      <rPr>
        <sz val="10"/>
        <rFont val="Arial"/>
        <family val="2"/>
      </rPr>
      <t>H</t>
    </r>
    <r>
      <rPr>
        <vertAlign val="subscript"/>
        <sz val="10"/>
        <rFont val="Arial"/>
        <family val="2"/>
      </rPr>
      <t>6</t>
    </r>
    <r>
      <rPr>
        <sz val="10"/>
        <rFont val="Arial"/>
        <family val="2"/>
      </rPr>
      <t xml:space="preserve"> </t>
    </r>
  </si>
  <si>
    <t>Propylene</t>
  </si>
  <si>
    <r>
      <t>C</t>
    </r>
    <r>
      <rPr>
        <vertAlign val="subscript"/>
        <sz val="10"/>
        <rFont val="Arial"/>
        <family val="2"/>
      </rPr>
      <t>3</t>
    </r>
    <r>
      <rPr>
        <sz val="10"/>
        <rFont val="Arial"/>
        <family val="2"/>
      </rPr>
      <t>H</t>
    </r>
    <r>
      <rPr>
        <vertAlign val="subscript"/>
        <sz val="10"/>
        <rFont val="Arial"/>
        <family val="2"/>
      </rPr>
      <t>6</t>
    </r>
    <r>
      <rPr>
        <sz val="10"/>
        <rFont val="Arial"/>
        <family val="2"/>
      </rPr>
      <t xml:space="preserve"> </t>
    </r>
  </si>
  <si>
    <r>
      <t>C</t>
    </r>
    <r>
      <rPr>
        <vertAlign val="subscript"/>
        <sz val="10"/>
        <rFont val="Arial"/>
        <family val="2"/>
      </rPr>
      <t>3</t>
    </r>
    <r>
      <rPr>
        <sz val="10"/>
        <rFont val="Arial"/>
        <family val="2"/>
      </rPr>
      <t>H</t>
    </r>
    <r>
      <rPr>
        <vertAlign val="subscript"/>
        <sz val="10"/>
        <rFont val="Arial"/>
        <family val="2"/>
      </rPr>
      <t>8</t>
    </r>
    <r>
      <rPr>
        <sz val="10"/>
        <rFont val="Arial"/>
        <family val="2"/>
      </rPr>
      <t xml:space="preserve"> </t>
    </r>
  </si>
  <si>
    <t>n-Butane</t>
  </si>
  <si>
    <r>
      <t>C</t>
    </r>
    <r>
      <rPr>
        <vertAlign val="subscript"/>
        <sz val="10"/>
        <rFont val="Arial"/>
        <family val="2"/>
      </rPr>
      <t>4</t>
    </r>
    <r>
      <rPr>
        <sz val="10"/>
        <rFont val="Arial"/>
        <family val="2"/>
      </rPr>
      <t>H</t>
    </r>
    <r>
      <rPr>
        <vertAlign val="subscript"/>
        <sz val="10"/>
        <rFont val="Arial"/>
        <family val="2"/>
      </rPr>
      <t>10</t>
    </r>
    <r>
      <rPr>
        <sz val="10"/>
        <rFont val="Arial"/>
        <family val="2"/>
      </rPr>
      <t xml:space="preserve"> </t>
    </r>
  </si>
  <si>
    <t>Benzene</t>
  </si>
  <si>
    <r>
      <t>C</t>
    </r>
    <r>
      <rPr>
        <vertAlign val="subscript"/>
        <sz val="10"/>
        <rFont val="Arial"/>
        <family val="2"/>
      </rPr>
      <t>6</t>
    </r>
    <r>
      <rPr>
        <sz val="10"/>
        <rFont val="Arial"/>
        <family val="2"/>
      </rPr>
      <t>H</t>
    </r>
    <r>
      <rPr>
        <vertAlign val="subscript"/>
        <sz val="10"/>
        <rFont val="Arial"/>
        <family val="2"/>
      </rPr>
      <t>6</t>
    </r>
    <r>
      <rPr>
        <sz val="10"/>
        <rFont val="Arial"/>
        <family val="2"/>
      </rPr>
      <t xml:space="preserve"> </t>
    </r>
  </si>
  <si>
    <t>Hexane</t>
  </si>
  <si>
    <r>
      <t>C</t>
    </r>
    <r>
      <rPr>
        <vertAlign val="subscript"/>
        <sz val="10"/>
        <rFont val="Arial"/>
        <family val="2"/>
      </rPr>
      <t>6</t>
    </r>
    <r>
      <rPr>
        <sz val="10"/>
        <rFont val="Arial"/>
        <family val="2"/>
      </rPr>
      <t>H</t>
    </r>
    <r>
      <rPr>
        <vertAlign val="subscript"/>
        <sz val="10"/>
        <rFont val="Arial"/>
        <family val="2"/>
      </rPr>
      <t>14</t>
    </r>
    <r>
      <rPr>
        <sz val="10"/>
        <rFont val="Arial"/>
        <family val="2"/>
      </rPr>
      <t xml:space="preserve"> </t>
    </r>
  </si>
  <si>
    <t>Toluene</t>
  </si>
  <si>
    <r>
      <t>C</t>
    </r>
    <r>
      <rPr>
        <vertAlign val="subscript"/>
        <sz val="10"/>
        <rFont val="Arial"/>
        <family val="2"/>
      </rPr>
      <t>7</t>
    </r>
    <r>
      <rPr>
        <sz val="10"/>
        <rFont val="Arial"/>
        <family val="2"/>
      </rPr>
      <t>H</t>
    </r>
    <r>
      <rPr>
        <vertAlign val="subscript"/>
        <sz val="10"/>
        <rFont val="Arial"/>
        <family val="2"/>
      </rPr>
      <t>8</t>
    </r>
    <r>
      <rPr>
        <sz val="10"/>
        <rFont val="Arial"/>
        <family val="2"/>
      </rPr>
      <t xml:space="preserve"> </t>
    </r>
  </si>
  <si>
    <t>Octane</t>
  </si>
  <si>
    <r>
      <t>C</t>
    </r>
    <r>
      <rPr>
        <vertAlign val="subscript"/>
        <sz val="10"/>
        <rFont val="Arial"/>
        <family val="2"/>
      </rPr>
      <t>8</t>
    </r>
    <r>
      <rPr>
        <sz val="10"/>
        <rFont val="Arial"/>
        <family val="2"/>
      </rPr>
      <t>H</t>
    </r>
    <r>
      <rPr>
        <vertAlign val="subscript"/>
        <sz val="10"/>
        <rFont val="Arial"/>
        <family val="2"/>
      </rPr>
      <t>18</t>
    </r>
    <r>
      <rPr>
        <sz val="10"/>
        <rFont val="Arial"/>
        <family val="2"/>
      </rPr>
      <t xml:space="preserve"> </t>
    </r>
  </si>
  <si>
    <t>Ethanol</t>
  </si>
  <si>
    <r>
      <t>C</t>
    </r>
    <r>
      <rPr>
        <vertAlign val="subscript"/>
        <sz val="10"/>
        <rFont val="Arial"/>
        <family val="2"/>
      </rPr>
      <t>2</t>
    </r>
    <r>
      <rPr>
        <sz val="10"/>
        <rFont val="Arial"/>
        <family val="2"/>
      </rPr>
      <t>H</t>
    </r>
    <r>
      <rPr>
        <vertAlign val="subscript"/>
        <sz val="10"/>
        <rFont val="Arial"/>
        <family val="2"/>
      </rPr>
      <t>5</t>
    </r>
    <r>
      <rPr>
        <sz val="10"/>
        <rFont val="Arial"/>
        <family val="2"/>
      </rPr>
      <t>OH</t>
    </r>
  </si>
  <si>
    <t>Acetone</t>
  </si>
  <si>
    <r>
      <t>CH</t>
    </r>
    <r>
      <rPr>
        <vertAlign val="subscript"/>
        <sz val="10"/>
        <rFont val="Arial"/>
        <family val="2"/>
      </rPr>
      <t>3</t>
    </r>
    <r>
      <rPr>
        <sz val="10"/>
        <rFont val="Arial"/>
        <family val="2"/>
      </rPr>
      <t>COCH</t>
    </r>
    <r>
      <rPr>
        <vertAlign val="subscript"/>
        <sz val="10"/>
        <rFont val="Arial"/>
        <family val="2"/>
      </rPr>
      <t>3</t>
    </r>
    <r>
      <rPr>
        <sz val="10"/>
        <rFont val="Arial"/>
        <family val="2"/>
      </rPr>
      <t xml:space="preserve"> </t>
    </r>
  </si>
  <si>
    <t>Tetrahydrofuran</t>
  </si>
  <si>
    <r>
      <t>C</t>
    </r>
    <r>
      <rPr>
        <vertAlign val="subscript"/>
        <sz val="10"/>
        <rFont val="Arial"/>
        <family val="2"/>
      </rPr>
      <t>4</t>
    </r>
    <r>
      <rPr>
        <sz val="10"/>
        <rFont val="Arial"/>
        <family val="2"/>
      </rPr>
      <t>H</t>
    </r>
    <r>
      <rPr>
        <vertAlign val="subscript"/>
        <sz val="10"/>
        <rFont val="Arial"/>
        <family val="2"/>
      </rPr>
      <t>8</t>
    </r>
    <r>
      <rPr>
        <sz val="10"/>
        <rFont val="Arial"/>
        <family val="2"/>
      </rPr>
      <t>O</t>
    </r>
  </si>
  <si>
    <t>Total for all Components</t>
  </si>
  <si>
    <t>%</t>
  </si>
  <si>
    <r>
      <t>1.  This tool is designed to apply the CO</t>
    </r>
    <r>
      <rPr>
        <vertAlign val="subscript"/>
        <sz val="8"/>
        <rFont val="Arial"/>
        <family val="2"/>
      </rPr>
      <t>2</t>
    </r>
    <r>
      <rPr>
        <sz val="8"/>
        <rFont val="Arial"/>
        <family val="2"/>
      </rPr>
      <t xml:space="preserve"> emission factor calculation methodology for a gas waste stream as provided in the</t>
    </r>
  </si>
  <si>
    <t xml:space="preserve">     This tool can also be used to approximate emissions for other combustion sources such as gas welding and gas metal cutting.</t>
  </si>
  <si>
    <t>Fuel Usage</t>
  </si>
  <si>
    <t>Motor Gasoline</t>
  </si>
  <si>
    <t>Diesel Fuel</t>
  </si>
  <si>
    <t>Vehicle</t>
  </si>
  <si>
    <t>(Vans, Pickup Trucks, SUVs)</t>
  </si>
  <si>
    <t>Gasoline Heavy-Duty Vehicles</t>
  </si>
  <si>
    <t>Type</t>
  </si>
  <si>
    <t>Year</t>
  </si>
  <si>
    <t>Miles</t>
  </si>
  <si>
    <t>Steam-Blr Room</t>
  </si>
  <si>
    <t>Intercity Rail (i.e. Amtrak)</t>
  </si>
  <si>
    <t>Commuter Rail</t>
  </si>
  <si>
    <t>Transit Rail (i.e. Subway, Tram)</t>
  </si>
  <si>
    <t xml:space="preserve">CF4 </t>
  </si>
  <si>
    <t>Fleet-012</t>
  </si>
  <si>
    <t>HQ Fleet</t>
  </si>
  <si>
    <t>Portable</t>
  </si>
  <si>
    <t>Total</t>
  </si>
  <si>
    <t>Moles</t>
  </si>
  <si>
    <r>
      <t>(lb-mole/ft</t>
    </r>
    <r>
      <rPr>
        <b/>
        <vertAlign val="superscript"/>
        <sz val="10"/>
        <rFont val="Arial"/>
        <family val="2"/>
      </rPr>
      <t>3</t>
    </r>
    <r>
      <rPr>
        <b/>
        <sz val="10"/>
        <rFont val="Arial"/>
        <family val="2"/>
      </rPr>
      <t>)</t>
    </r>
  </si>
  <si>
    <t>Name of Preparer:</t>
  </si>
  <si>
    <t>Phone Number of Preparer:</t>
  </si>
  <si>
    <t>Date Prepared:</t>
  </si>
  <si>
    <t>Molecular Weigh of C</t>
  </si>
  <si>
    <r>
      <t>Molecular Weight of CO</t>
    </r>
    <r>
      <rPr>
        <vertAlign val="subscript"/>
        <sz val="10"/>
        <rFont val="Arial"/>
        <family val="2"/>
      </rPr>
      <t>2</t>
    </r>
    <r>
      <rPr>
        <sz val="10"/>
        <rFont val="Arial"/>
        <family val="2"/>
      </rPr>
      <t xml:space="preserve"> </t>
    </r>
  </si>
  <si>
    <t>Aircraft</t>
  </si>
  <si>
    <t>Waterborne Craft</t>
  </si>
  <si>
    <t>Passenger car A/C units (capacity 0.5 kg)</t>
  </si>
  <si>
    <t>Light-duty truck A/C units (capacity 1.5 kg)</t>
  </si>
  <si>
    <t>Total Fossil Fuel Emissions</t>
  </si>
  <si>
    <t>Total Non-Fossil Fuel Emissions</t>
  </si>
  <si>
    <t>MROE (MRO East)</t>
  </si>
  <si>
    <t>Forestry Project</t>
  </si>
  <si>
    <t>Trees</t>
  </si>
  <si>
    <t>Table 1.  Total Amount of Purchased Offsets</t>
  </si>
  <si>
    <t>Required Supplemental Information</t>
  </si>
  <si>
    <t>Offsets</t>
  </si>
  <si>
    <t xml:space="preserve">Convert From </t>
  </si>
  <si>
    <t>Convert To</t>
  </si>
  <si>
    <t>Multiply By</t>
  </si>
  <si>
    <t>mmBtu</t>
  </si>
  <si>
    <t>Short ton</t>
  </si>
  <si>
    <t>short tons</t>
  </si>
  <si>
    <t>Reductions</t>
  </si>
  <si>
    <r>
      <t>CH</t>
    </r>
    <r>
      <rPr>
        <vertAlign val="subscript"/>
        <sz val="10"/>
        <rFont val="Arial"/>
        <family val="2"/>
      </rPr>
      <t>4</t>
    </r>
  </si>
  <si>
    <t>short ton / mmBtu</t>
  </si>
  <si>
    <t>therm</t>
  </si>
  <si>
    <t>ccf</t>
  </si>
  <si>
    <t>Mcf</t>
  </si>
  <si>
    <t>cubic meter</t>
  </si>
  <si>
    <t>kWh</t>
  </si>
  <si>
    <t>scf / mmBtu</t>
  </si>
  <si>
    <t>scf / Dth</t>
  </si>
  <si>
    <t>scf / therm</t>
  </si>
  <si>
    <t>scf / ccf</t>
  </si>
  <si>
    <t>scf / Mcf</t>
  </si>
  <si>
    <t>scf / cubic meter</t>
  </si>
  <si>
    <t>scf / kWh</t>
  </si>
  <si>
    <t>gallon</t>
  </si>
  <si>
    <t>gallon / mmBtu</t>
  </si>
  <si>
    <t>Fire Suppression Equipment</t>
  </si>
  <si>
    <t>Fire Suppression Gas</t>
  </si>
  <si>
    <t>Steam Fuel Type</t>
  </si>
  <si>
    <t>short ton</t>
  </si>
  <si>
    <t>mmBtu / short ton</t>
  </si>
  <si>
    <t>mmBtu / Mlb</t>
  </si>
  <si>
    <t xml:space="preserve"> </t>
  </si>
  <si>
    <t>Bldg-011</t>
  </si>
  <si>
    <t xml:space="preserve">Office </t>
  </si>
  <si>
    <t>TYPE OF REFRIGERATION EQUIPMENT</t>
  </si>
  <si>
    <r>
      <t>CH</t>
    </r>
    <r>
      <rPr>
        <b/>
        <vertAlign val="subscript"/>
        <sz val="10"/>
        <rFont val="Arial"/>
        <family val="2"/>
      </rPr>
      <t>4</t>
    </r>
    <r>
      <rPr>
        <b/>
        <sz val="10"/>
        <rFont val="Arial"/>
        <family val="2"/>
      </rPr>
      <t xml:space="preserve"> Factor 
(g / mmBtu)</t>
    </r>
  </si>
  <si>
    <r>
      <t>N</t>
    </r>
    <r>
      <rPr>
        <b/>
        <vertAlign val="subscript"/>
        <sz val="10"/>
        <rFont val="Arial"/>
        <family val="2"/>
      </rPr>
      <t>2</t>
    </r>
    <r>
      <rPr>
        <b/>
        <sz val="10"/>
        <rFont val="Arial"/>
        <family val="2"/>
      </rPr>
      <t>O Factor 
(g / mmBtu)</t>
    </r>
  </si>
  <si>
    <t>Vehicle Year</t>
  </si>
  <si>
    <t>Mileage (miles)</t>
  </si>
  <si>
    <r>
      <t>CH</t>
    </r>
    <r>
      <rPr>
        <b/>
        <vertAlign val="subscript"/>
        <sz val="10"/>
        <rFont val="Arial"/>
        <family val="2"/>
      </rPr>
      <t xml:space="preserve">4 </t>
    </r>
    <r>
      <rPr>
        <b/>
        <sz val="10"/>
        <rFont val="Arial"/>
        <family val="2"/>
      </rPr>
      <t>(g)</t>
    </r>
  </si>
  <si>
    <r>
      <t>N</t>
    </r>
    <r>
      <rPr>
        <b/>
        <vertAlign val="subscript"/>
        <sz val="10"/>
        <rFont val="Arial"/>
        <family val="2"/>
      </rPr>
      <t>2</t>
    </r>
    <r>
      <rPr>
        <b/>
        <sz val="10"/>
        <rFont val="Arial"/>
        <family val="2"/>
      </rPr>
      <t>O (g)</t>
    </r>
  </si>
  <si>
    <r>
      <t>CO</t>
    </r>
    <r>
      <rPr>
        <b/>
        <vertAlign val="subscript"/>
        <sz val="10"/>
        <rFont val="Arial"/>
        <family val="2"/>
      </rPr>
      <t>2</t>
    </r>
    <r>
      <rPr>
        <b/>
        <sz val="10"/>
        <rFont val="Arial"/>
        <family val="2"/>
      </rPr>
      <t xml:space="preserve"> Emissions for Road Vehicles</t>
    </r>
  </si>
  <si>
    <r>
      <t>CH</t>
    </r>
    <r>
      <rPr>
        <b/>
        <vertAlign val="subscript"/>
        <sz val="10"/>
        <rFont val="Arial"/>
        <family val="2"/>
      </rPr>
      <t>4</t>
    </r>
    <r>
      <rPr>
        <b/>
        <sz val="10"/>
        <rFont val="Arial"/>
        <family val="2"/>
      </rPr>
      <t xml:space="preserve"> Factor 
(g / mile)</t>
    </r>
  </si>
  <si>
    <r>
      <t>N</t>
    </r>
    <r>
      <rPr>
        <b/>
        <vertAlign val="subscript"/>
        <sz val="10"/>
        <rFont val="Arial"/>
        <family val="2"/>
      </rPr>
      <t>2</t>
    </r>
    <r>
      <rPr>
        <b/>
        <sz val="10"/>
        <rFont val="Arial"/>
        <family val="2"/>
      </rPr>
      <t>O Factor 
(g / mile)</t>
    </r>
  </si>
  <si>
    <t>Fuel Usage (gallons)</t>
  </si>
  <si>
    <r>
      <t>CH</t>
    </r>
    <r>
      <rPr>
        <b/>
        <vertAlign val="subscript"/>
        <sz val="10"/>
        <rFont val="Arial"/>
        <family val="2"/>
      </rPr>
      <t>4</t>
    </r>
    <r>
      <rPr>
        <b/>
        <sz val="10"/>
        <rFont val="Arial"/>
        <family val="2"/>
      </rPr>
      <t xml:space="preserve"> (g) </t>
    </r>
  </si>
  <si>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Highway Vehicles</t>
    </r>
  </si>
  <si>
    <t>Fuel Combusted</t>
  </si>
  <si>
    <r>
      <t>CH</t>
    </r>
    <r>
      <rPr>
        <b/>
        <vertAlign val="subscript"/>
        <sz val="10"/>
        <rFont val="Arial"/>
        <family val="2"/>
      </rPr>
      <t>4</t>
    </r>
    <r>
      <rPr>
        <b/>
        <sz val="10"/>
        <rFont val="Arial"/>
        <family val="2"/>
      </rPr>
      <t xml:space="preserve"> Factor 
(g / unit)</t>
    </r>
  </si>
  <si>
    <r>
      <t>N</t>
    </r>
    <r>
      <rPr>
        <b/>
        <vertAlign val="subscript"/>
        <sz val="10"/>
        <rFont val="Arial"/>
        <family val="2"/>
      </rPr>
      <t>2</t>
    </r>
    <r>
      <rPr>
        <b/>
        <sz val="10"/>
        <rFont val="Arial"/>
        <family val="2"/>
      </rPr>
      <t>O Factor 
(g / unit)</t>
    </r>
  </si>
  <si>
    <r>
      <t>CH</t>
    </r>
    <r>
      <rPr>
        <b/>
        <vertAlign val="subscript"/>
        <sz val="10"/>
        <rFont val="Arial"/>
        <family val="2"/>
      </rPr>
      <t xml:space="preserve">4 </t>
    </r>
    <r>
      <rPr>
        <b/>
        <sz val="10"/>
        <rFont val="Arial"/>
        <family val="2"/>
      </rPr>
      <t>Factor 
(g / mile)</t>
    </r>
  </si>
  <si>
    <t>Bus</t>
  </si>
  <si>
    <t>East Power Plant Finished Goods</t>
  </si>
  <si>
    <t>Truck</t>
  </si>
  <si>
    <t>Product Transport Vehicle Type</t>
  </si>
  <si>
    <t>ton-mile</t>
  </si>
  <si>
    <r>
      <t>CO</t>
    </r>
    <r>
      <rPr>
        <b/>
        <vertAlign val="subscript"/>
        <sz val="10"/>
        <rFont val="Arial"/>
        <family val="2"/>
      </rPr>
      <t>2</t>
    </r>
    <r>
      <rPr>
        <b/>
        <sz val="10"/>
        <rFont val="Arial"/>
        <family val="2"/>
      </rPr>
      <t xml:space="preserve"> Factor 
(kg / unit)</t>
    </r>
  </si>
  <si>
    <r>
      <t>CH</t>
    </r>
    <r>
      <rPr>
        <b/>
        <vertAlign val="subscript"/>
        <sz val="10"/>
        <rFont val="Arial"/>
        <family val="2"/>
      </rPr>
      <t xml:space="preserve">4 </t>
    </r>
    <r>
      <rPr>
        <b/>
        <sz val="10"/>
        <rFont val="Arial"/>
        <family val="2"/>
      </rPr>
      <t>Factor 
(g / unit)</t>
    </r>
  </si>
  <si>
    <t>Rail</t>
  </si>
  <si>
    <t>vehicle-mile</t>
  </si>
  <si>
    <t>passenger-mile</t>
  </si>
  <si>
    <t>Emissions Summary</t>
  </si>
  <si>
    <t>Quick Data Entry Navigation</t>
  </si>
  <si>
    <t>Refrigeration and AC</t>
  </si>
  <si>
    <t>Fire Suppression</t>
  </si>
  <si>
    <t>Business Travel</t>
  </si>
  <si>
    <t>Commuting</t>
  </si>
  <si>
    <t>Tab Navigation</t>
  </si>
  <si>
    <t>Medium Haul (&gt;= 300 miles, &lt; 2300 miles)</t>
  </si>
  <si>
    <t>Source:</t>
  </si>
  <si>
    <t>Source ID</t>
  </si>
  <si>
    <r>
      <t>CO</t>
    </r>
    <r>
      <rPr>
        <b/>
        <vertAlign val="subscript"/>
        <sz val="10"/>
        <rFont val="Arial"/>
        <family val="2"/>
      </rPr>
      <t>2</t>
    </r>
    <r>
      <rPr>
        <b/>
        <sz val="10"/>
        <rFont val="Arial"/>
        <family val="2"/>
      </rPr>
      <t xml:space="preserve"> Emissions (kg)</t>
    </r>
  </si>
  <si>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</si>
  <si>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</si>
  <si>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t>Product Transport Type</t>
  </si>
  <si>
    <t>Total for all Product Transport by Ton-Miles</t>
  </si>
  <si>
    <t xml:space="preserve">Transport Type </t>
  </si>
  <si>
    <r>
      <t>CO</t>
    </r>
    <r>
      <rPr>
        <b/>
        <vertAlign val="subscript"/>
        <sz val="10"/>
        <rFont val="Arial"/>
        <family val="2"/>
      </rPr>
      <t>2</t>
    </r>
    <r>
      <rPr>
        <b/>
        <sz val="10"/>
        <rFont val="Arial"/>
        <family val="2"/>
      </rPr>
      <t xml:space="preserve"> (kg)</t>
    </r>
  </si>
  <si>
    <r>
      <t>CH</t>
    </r>
    <r>
      <rPr>
        <b/>
        <vertAlign val="subscript"/>
        <sz val="10"/>
        <rFont val="Arial"/>
        <family val="2"/>
      </rPr>
      <t>4</t>
    </r>
    <r>
      <rPr>
        <b/>
        <sz val="10"/>
        <rFont val="Arial"/>
        <family val="2"/>
      </rPr>
      <t xml:space="preserve"> (g)</t>
    </r>
  </si>
  <si>
    <t>Guidance</t>
  </si>
  <si>
    <t>Travel by Passenger Miles</t>
  </si>
  <si>
    <t>Travel by Vehicle Miles</t>
  </si>
  <si>
    <t>Travel by Air</t>
  </si>
  <si>
    <t>Tip: Make sure all transport legs are accounted for from manufacturing facility to distribution to customer.</t>
  </si>
  <si>
    <r>
      <t>CH</t>
    </r>
    <r>
      <rPr>
        <b/>
        <vertAlign val="subscript"/>
        <sz val="10"/>
        <rFont val="Arial"/>
        <family val="2"/>
      </rPr>
      <t>4</t>
    </r>
    <r>
      <rPr>
        <b/>
        <sz val="10"/>
        <rFont val="Arial"/>
        <family val="2"/>
      </rPr>
      <t xml:space="preserve"> Emissions  (g)</t>
    </r>
  </si>
  <si>
    <t>Passenger-Miles (miles)</t>
  </si>
  <si>
    <r>
      <t>CH</t>
    </r>
    <r>
      <rPr>
        <b/>
        <vertAlign val="subscript"/>
        <sz val="10"/>
        <rFont val="Arial"/>
        <family val="2"/>
      </rPr>
      <t>4</t>
    </r>
    <r>
      <rPr>
        <b/>
        <sz val="10"/>
        <rFont val="Arial"/>
        <family val="2"/>
      </rPr>
      <t xml:space="preserve"> Emissions 
(g)</t>
    </r>
  </si>
  <si>
    <r>
      <t>N</t>
    </r>
    <r>
      <rPr>
        <b/>
        <vertAlign val="subscript"/>
        <sz val="10"/>
        <rFont val="Arial"/>
        <family val="2"/>
      </rPr>
      <t>2</t>
    </r>
    <r>
      <rPr>
        <b/>
        <sz val="10"/>
        <rFont val="Arial"/>
        <family val="2"/>
      </rPr>
      <t>O
 Emissions 
(g)</t>
    </r>
  </si>
  <si>
    <r>
      <t>N</t>
    </r>
    <r>
      <rPr>
        <b/>
        <vertAlign val="subscript"/>
        <sz val="10"/>
        <rFont val="Arial"/>
        <family val="2"/>
      </rPr>
      <t>2</t>
    </r>
    <r>
      <rPr>
        <b/>
        <sz val="10"/>
        <rFont val="Arial"/>
        <family val="2"/>
      </rPr>
      <t>O 
Emissions 
(g)</t>
    </r>
  </si>
  <si>
    <t>Flight Length</t>
  </si>
  <si>
    <t xml:space="preserve"> Vehicle-Miles (miles)</t>
  </si>
  <si>
    <t xml:space="preserve"> Total Emissions by Product Transport Type</t>
  </si>
  <si>
    <r>
      <t>Total CO</t>
    </r>
    <r>
      <rPr>
        <b/>
        <vertAlign val="subscript"/>
        <sz val="10"/>
        <rFont val="Arial"/>
        <family val="2"/>
      </rPr>
      <t>2</t>
    </r>
    <r>
      <rPr>
        <b/>
        <sz val="10"/>
        <rFont val="Arial"/>
        <family val="2"/>
      </rPr>
      <t xml:space="preserve"> Emissions by Travel Type</t>
    </r>
  </si>
  <si>
    <r>
      <t>Total CO</t>
    </r>
    <r>
      <rPr>
        <b/>
        <vertAlign val="subscript"/>
        <sz val="10"/>
        <rFont val="Arial"/>
        <family val="2"/>
      </rPr>
      <t>2</t>
    </r>
    <r>
      <rPr>
        <b/>
        <sz val="10"/>
        <rFont val="Arial"/>
        <family val="2"/>
      </rPr>
      <t xml:space="preserve"> Emissions by Commuting Type</t>
    </r>
  </si>
  <si>
    <t>Emissions by Source and Fuel Type for Steam Purchased</t>
  </si>
  <si>
    <t xml:space="preserve"> -- If "Fuel Type" is not known, select "Natural Gas" from drop box as default value.</t>
  </si>
  <si>
    <t xml:space="preserve">  (B)   Enter total amount waste stream gas combusted.</t>
  </si>
  <si>
    <t>Waste Stream Gas Combusted:</t>
  </si>
  <si>
    <t>- This number is based on specific temperature and pressure conditions.</t>
  </si>
  <si>
    <t>Gas total number of moles per unit volume:</t>
  </si>
  <si>
    <r>
      <t xml:space="preserve">  (C)   Enter gas total number of moles per ft</t>
    </r>
    <r>
      <rPr>
        <vertAlign val="superscript"/>
        <sz val="10"/>
        <rFont val="Arial"/>
        <family val="2"/>
      </rPr>
      <t>3</t>
    </r>
    <r>
      <rPr>
        <sz val="10"/>
        <rFont val="Arial"/>
        <family val="2"/>
      </rPr>
      <t>.</t>
    </r>
  </si>
  <si>
    <r>
      <t xml:space="preserve">  (D)   Enter molar fraction (as a percentage) for each gas component in </t>
    </r>
    <r>
      <rPr>
        <b/>
        <sz val="10"/>
        <rFont val="Arial"/>
        <family val="2"/>
      </rPr>
      <t>Table 1.</t>
    </r>
  </si>
  <si>
    <t>Refrigerants and Global Warming Potentials (GWPs)</t>
  </si>
  <si>
    <r>
      <t>N</t>
    </r>
    <r>
      <rPr>
        <vertAlign val="subscript"/>
        <sz val="10"/>
        <rFont val="Arial"/>
        <family val="2"/>
      </rPr>
      <t>2</t>
    </r>
    <r>
      <rPr>
        <sz val="10"/>
        <rFont val="Arial"/>
        <family val="2"/>
      </rPr>
      <t>O</t>
    </r>
  </si>
  <si>
    <r>
      <t>Option 3.</t>
    </r>
    <r>
      <rPr>
        <sz val="10"/>
        <rFont val="Arial"/>
        <family val="2"/>
      </rPr>
      <t xml:space="preserve">     Screening Method:  Enter fire suppression gas information for each unit or group of units (by gas) in </t>
    </r>
    <r>
      <rPr>
        <b/>
        <sz val="10"/>
        <rFont val="Arial"/>
        <family val="2"/>
      </rPr>
      <t>Table 3.</t>
    </r>
  </si>
  <si>
    <r>
      <t>Option 3.</t>
    </r>
    <r>
      <rPr>
        <sz val="10"/>
        <rFont val="Arial"/>
        <family val="2"/>
      </rPr>
      <t xml:space="preserve">     Screening Method:  Enter refrigerant information for each unit or group of units (by refrigerant) in </t>
    </r>
    <r>
      <rPr>
        <b/>
        <sz val="10"/>
        <rFont val="Arial"/>
        <family val="2"/>
      </rPr>
      <t>Table 3.</t>
    </r>
  </si>
  <si>
    <t xml:space="preserve">                      -- If data entered for multiple units, sum the capacities or charge quantity for all like units.</t>
  </si>
  <si>
    <t>Reference Table: Type of Equipment and Default Capacity Ranges (Lower to Upper Range) for Table 3</t>
  </si>
  <si>
    <t>Reference Table: Average Fuel Economy by Vehicle Type</t>
  </si>
  <si>
    <t>Ethanol Percent:</t>
  </si>
  <si>
    <t>GHG Emissions</t>
  </si>
  <si>
    <t>Waste Gases</t>
  </si>
  <si>
    <t>Go to Boundary Questions</t>
  </si>
  <si>
    <t>Help Tab Navigation</t>
  </si>
  <si>
    <t>Help - Mobile Sources</t>
  </si>
  <si>
    <t>Help - Refrigeration and AC</t>
  </si>
  <si>
    <t>Help - Fire Suppression</t>
  </si>
  <si>
    <t>Help - Waste Gases</t>
  </si>
  <si>
    <t>Help - Electricity</t>
  </si>
  <si>
    <t>Help - Steam</t>
  </si>
  <si>
    <t>Help - Business Travel</t>
  </si>
  <si>
    <t>Help - Commuting</t>
  </si>
  <si>
    <t>Help - Offsets</t>
  </si>
  <si>
    <t>Tool Sheets</t>
  </si>
  <si>
    <t>Yes or No?</t>
  </si>
  <si>
    <t>Do you flare any gases on-site?</t>
  </si>
  <si>
    <t>Emissions Source Questions</t>
  </si>
  <si>
    <t>Do you purchase steam for heating or cooling in your facilities?</t>
  </si>
  <si>
    <t>- Stationary Combustion</t>
  </si>
  <si>
    <t>- Refrigeration and AC</t>
  </si>
  <si>
    <t>- Electricity</t>
  </si>
  <si>
    <t>Tip: you may need to ask your landlord about heating sources, steam purchased and refrigerants</t>
  </si>
  <si>
    <t>pounds (lb)</t>
  </si>
  <si>
    <t>lb</t>
  </si>
  <si>
    <t>metric ton</t>
  </si>
  <si>
    <t>kilogram (kg)</t>
  </si>
  <si>
    <t>lb / metric ton</t>
  </si>
  <si>
    <t>lb / kg</t>
  </si>
  <si>
    <t>gram (g)</t>
  </si>
  <si>
    <t>g /  lb</t>
  </si>
  <si>
    <t>kg / lb</t>
  </si>
  <si>
    <t>metric ton / lb</t>
  </si>
  <si>
    <t>kg / metric ton</t>
  </si>
  <si>
    <t>short ton / metric ton</t>
  </si>
  <si>
    <t>standard cubic foot (scf)</t>
  </si>
  <si>
    <t>US gallons (gal)</t>
  </si>
  <si>
    <t>barrel (bbl)</t>
  </si>
  <si>
    <t>liters (L)</t>
  </si>
  <si>
    <t>gal / scf</t>
  </si>
  <si>
    <t>bbl / scf</t>
  </si>
  <si>
    <t>L / scf</t>
  </si>
  <si>
    <t>m3 / scf</t>
  </si>
  <si>
    <t>US gallon (gal)</t>
  </si>
  <si>
    <t>cubic meters (m3)</t>
  </si>
  <si>
    <t>bbl / gal</t>
  </si>
  <si>
    <t>L / gal</t>
  </si>
  <si>
    <t>m3 / gal</t>
  </si>
  <si>
    <t>gal / bbl</t>
  </si>
  <si>
    <t>L / bbl</t>
  </si>
  <si>
    <t>m3 / bbl</t>
  </si>
  <si>
    <t>m3 / L</t>
  </si>
  <si>
    <t>gal / L</t>
  </si>
  <si>
    <t>bbl / m3</t>
  </si>
  <si>
    <t>gal / m3</t>
  </si>
  <si>
    <t>L / m3</t>
  </si>
  <si>
    <t>Btu</t>
  </si>
  <si>
    <t xml:space="preserve">kilojoules (KJ) </t>
  </si>
  <si>
    <t xml:space="preserve">gigajoules (GJ) </t>
  </si>
  <si>
    <t>million Btu (mmBtu)</t>
  </si>
  <si>
    <t>kilowatt hours (kWh)</t>
  </si>
  <si>
    <t xml:space="preserve">joules (J) </t>
  </si>
  <si>
    <t>kilowatt hour (kWh)</t>
  </si>
  <si>
    <t>megajoule (MJ)</t>
  </si>
  <si>
    <t>gigajoule (GJ)</t>
  </si>
  <si>
    <t>Btu / kWh</t>
  </si>
  <si>
    <t>KJ / kWh</t>
  </si>
  <si>
    <t>GJ / MJ</t>
  </si>
  <si>
    <t>mmBtu / GJ</t>
  </si>
  <si>
    <t>kWh / GJ</t>
  </si>
  <si>
    <t>J / Btu</t>
  </si>
  <si>
    <t>GJ / mmBtu</t>
  </si>
  <si>
    <t>kWh / mmBtu</t>
  </si>
  <si>
    <t>Btu / therm</t>
  </si>
  <si>
    <t>GJ / therm</t>
  </si>
  <si>
    <t>kWh / therm</t>
  </si>
  <si>
    <t>mile</t>
  </si>
  <si>
    <t>nautical mile</t>
  </si>
  <si>
    <t>miles</t>
  </si>
  <si>
    <t>kilometers (km)</t>
  </si>
  <si>
    <t>kilometer (km)</t>
  </si>
  <si>
    <t>km / mile</t>
  </si>
  <si>
    <t>mile / nautical mile</t>
  </si>
  <si>
    <t>mile / km</t>
  </si>
  <si>
    <t>Notes</t>
  </si>
  <si>
    <r>
      <t>lb-mole/ft</t>
    </r>
    <r>
      <rPr>
        <vertAlign val="superscript"/>
        <sz val="10"/>
        <rFont val="Arial"/>
        <family val="2"/>
      </rPr>
      <t>3</t>
    </r>
  </si>
  <si>
    <t>Medium- and Heavy-duty Truck</t>
  </si>
  <si>
    <t>Help - Stationary Combustion</t>
  </si>
  <si>
    <t>Average Fuel Economy (mpg)</t>
  </si>
  <si>
    <t>Equivalent</t>
  </si>
  <si>
    <r>
      <t>CO</t>
    </r>
    <r>
      <rPr>
        <b/>
        <vertAlign val="subscript"/>
        <sz val="10"/>
        <rFont val="Arial"/>
        <family val="2"/>
      </rPr>
      <t>2</t>
    </r>
    <r>
      <rPr>
        <b/>
        <sz val="10"/>
        <rFont val="Arial"/>
        <family val="2"/>
      </rPr>
      <t xml:space="preserve"> Equivalent</t>
    </r>
  </si>
  <si>
    <r>
      <t>Table 2.  Rail or Bus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</si>
  <si>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3.  Air - Business Travel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</si>
  <si>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all Personal Vehicle Employee Commuting</t>
  </si>
  <si>
    <t>Total for all Public Transportation Employee Commuting</t>
  </si>
  <si>
    <r>
      <t>Table 1.  On-Road Vehicle Product Transport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</si>
  <si>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2.  Product Transport by Ton-Miles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</si>
  <si>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Total for Product Transport by Vehicle-Miles</t>
  </si>
  <si>
    <t>Operational Boundary Questions - Emissions Sources to Include</t>
  </si>
  <si>
    <t>Tool Sheet: Heat Content for Specific Fuels</t>
  </si>
  <si>
    <t>Does your inventory include facilities that use electricity?</t>
  </si>
  <si>
    <t>Refrigeration and Air Conditioning</t>
  </si>
  <si>
    <t>Do your facilities use refrigeration or air conditioning equipment?</t>
  </si>
  <si>
    <t>Refrigeration / AC Equipment Use</t>
  </si>
  <si>
    <t>Do your facilities use chemical fire suppressants?</t>
  </si>
  <si>
    <t xml:space="preserve">Are VOCs combusted in thermal oxidizers in your facilities? </t>
  </si>
  <si>
    <t xml:space="preserve">Do you hire another company to transport products or other materials to or from your facilities? </t>
  </si>
  <si>
    <t>Do you purchase greenhouse gas offsets?</t>
  </si>
  <si>
    <t>Mobile Combustion Emission Factors</t>
  </si>
  <si>
    <t>Tool Sheet: Emission Factors</t>
  </si>
  <si>
    <t>Product Transport Emission Factors</t>
  </si>
  <si>
    <t>Electricity eGRID Subregions</t>
  </si>
  <si>
    <t>DEFINITION</t>
  </si>
  <si>
    <t xml:space="preserve">Combustion emission sources are stationary sources that combust fuel, like a natural gas hot water heater for an office building or an oil burning boiler.  Emissions result from the actual combustion of the fuels to produce useful products, like heat and hot water. </t>
  </si>
  <si>
    <t>COLLECT</t>
  </si>
  <si>
    <t>QUANTIFY</t>
  </si>
  <si>
    <r>
      <t>Fire suppression emission sources can range in scale from a small portable fire extinguisher to a large scale fire suppression system for an office building or warehouse.  The emissions are caused by chemicals (e.g., HFCs or CO</t>
    </r>
    <r>
      <rPr>
        <vertAlign val="subscript"/>
        <sz val="10"/>
        <rFont val="Arial"/>
        <family val="2"/>
      </rPr>
      <t>2</t>
    </r>
    <r>
      <rPr>
        <sz val="10"/>
        <rFont val="Arial"/>
        <family val="2"/>
      </rPr>
      <t>) emitted from fire suppression devices during use, maintenance, and disposal.</t>
    </r>
  </si>
  <si>
    <t xml:space="preserve">Choose one of three different calculation methods available in the “Fire Suppression” section of the Calculator.  In each method, choose the types of fire suppression gases used and then gather the corresponding emissions data.  Data for these sources is often collected from maintenance and inspection records, work orders, or invoices from contractors that service this equipment. </t>
  </si>
  <si>
    <t>-</t>
  </si>
  <si>
    <t>The number off the utility bill to use is the total usage amount (i.e., the difference between the meter reading at the beginning of the month and the end of the month).</t>
  </si>
  <si>
    <t xml:space="preserve">Determine the types of vehicles, types and amount of fuel, and the miles driven for each vehicle or vehicle type.  Data sources vary but fuel usage is often determined from fuel receipts or purchase records and provided in gallons, and mileage from vehicle records.  Mileage or fuel use can also be estimated based on vehicle fuel economy from the manufacturer or www.fueleconomy.gov if the other data sources are not readily available. </t>
  </si>
  <si>
    <t>Items to Note</t>
  </si>
  <si>
    <t>Amount of fuel consumed</t>
  </si>
  <si>
    <t>Type of fuel consumed</t>
  </si>
  <si>
    <t>Data Collection Checklist (for all facilities)</t>
  </si>
  <si>
    <t>Data Collection Checklist (for all vehicles)</t>
  </si>
  <si>
    <t>Type and year of vehicle</t>
  </si>
  <si>
    <r>
      <t>Table 2.  Public Transportation - Employee Commuting by Passenger-Miles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</si>
  <si>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r>
      <t>Table 1.  Personal Vehicle - Employee Commuting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</si>
  <si>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 (per Employee)</t>
  </si>
  <si>
    <t>Round trip mileage</t>
  </si>
  <si>
    <t>Mode of transport (this may be multiple modes of transport)</t>
  </si>
  <si>
    <t>ASHRAE #</t>
  </si>
  <si>
    <t>Blend GWP HFC/PFC</t>
  </si>
  <si>
    <t>Blended Refrigerants (ASHRAE #)</t>
  </si>
  <si>
    <t>Blend Make-up</t>
  </si>
  <si>
    <t>53% HCFC-22 , 34% HCFC-124 , 13% HFC-152a</t>
  </si>
  <si>
    <t>61% HCFC-22 , 28% HCFC-124 , 11% HFC-152a</t>
  </si>
  <si>
    <t>33% HCFC-22 , 52% HCFC-124 , 15% HFC-152a</t>
  </si>
  <si>
    <t>38% HCFC-22 , 6% HFC-125 , 2% propane</t>
  </si>
  <si>
    <t>6% HCFC-22 , 38% HFC-125 , 2% propane</t>
  </si>
  <si>
    <t>56% HCFC-22 , 39% PFC-218 , 5% propane</t>
  </si>
  <si>
    <t>44% HFC-125 , 4% HFC-134a , 52% HFC 143a</t>
  </si>
  <si>
    <t>55% HCFC-22 , 41% HCFC-142b , 4% isobutane</t>
  </si>
  <si>
    <t>20% HFC-32 , 40% HFC-125 , 40% HFC-134a</t>
  </si>
  <si>
    <t>10% HFC-32 , 70% HFC-125 , 20% HFC-134a</t>
  </si>
  <si>
    <t>23% HFC-32 , 25% HFC-125 , 52% HFC-134a</t>
  </si>
  <si>
    <t>15% HFC-32 , 15% HFC-125 , 70% HFC-134a</t>
  </si>
  <si>
    <t>25% HFC-32 , 15% HFC-125 , 60% HFC-134a</t>
  </si>
  <si>
    <t>47% HCFC-22 , 7% HFC-125 , 46% HFC 143a</t>
  </si>
  <si>
    <t>60% HCFC-22 , 25% HCFC-124 , 15% HCFC-142b</t>
  </si>
  <si>
    <t>50% HFC-32 , 50% HFC-125</t>
  </si>
  <si>
    <t xml:space="preserve">45% HFC-32 , 55% HFC-125 </t>
  </si>
  <si>
    <t>94% HCFC-22 , 3% HFC-152a , 3% propylene</t>
  </si>
  <si>
    <t>88% HFC-134a , 9% PFC-218 , 3% isobutane</t>
  </si>
  <si>
    <t>51% HCFC-22 , 28.5% HCFC-124 , 16.5% HCFC-142b</t>
  </si>
  <si>
    <t>5% HCFC-22 , 39% HCFC-124 , 9.5% HCFC-142b</t>
  </si>
  <si>
    <t>46.6% HFC-125 , 5% HFC-134a , 3.4% butane</t>
  </si>
  <si>
    <t>85.1% HFC-125 , 11.5% HFC-134a , 3.4% isobutane</t>
  </si>
  <si>
    <t>65.1% HFC-125 , 31.5% HFC-134a , 3.4% isobutane</t>
  </si>
  <si>
    <t>77.5% HFC-125 , 2% HFC-143a , 1.9% isobutane</t>
  </si>
  <si>
    <t>73.8% CFC-12 , 26.2% HFC-152a , 48.8% HCFC-22</t>
  </si>
  <si>
    <t xml:space="preserve">48.8% HCFC-22 , 51.2% CFC-115 </t>
  </si>
  <si>
    <t>48.2% HFC-32 , 51.8% CFC-115</t>
  </si>
  <si>
    <t>5% HFC-125 , 5% HFC143a</t>
  </si>
  <si>
    <t>39% HFC-23 , 61% PFC-116</t>
  </si>
  <si>
    <t>46% HFC-23 , 54% PFC-116</t>
  </si>
  <si>
    <t>Data Collection Checklist (by equipment)</t>
  </si>
  <si>
    <t>Amount of fuel consumed for the inventory reporting period</t>
  </si>
  <si>
    <t>Total miles driven for the inventory reporting period</t>
  </si>
  <si>
    <t>Inventory Reporting Period:</t>
  </si>
  <si>
    <t>Purchased Gases</t>
  </si>
  <si>
    <t>Help - Purchased Gases</t>
  </si>
  <si>
    <t>Table 1.  Purchased Gases</t>
  </si>
  <si>
    <t>GHGs</t>
  </si>
  <si>
    <t>N2O</t>
  </si>
  <si>
    <t>Tip: If you purchase bulk gas, remember to report it for future years as well.</t>
  </si>
  <si>
    <t>Molecular Weights</t>
  </si>
  <si>
    <t>Element</t>
  </si>
  <si>
    <t>Atomic Weight</t>
  </si>
  <si>
    <r>
      <t>Total CO</t>
    </r>
    <r>
      <rPr>
        <b/>
        <vertAlign val="subscript"/>
        <sz val="10"/>
        <rFont val="Arial"/>
        <family val="2"/>
      </rPr>
      <t>2</t>
    </r>
    <r>
      <rPr>
        <b/>
        <sz val="10"/>
        <rFont val="Arial"/>
        <family val="2"/>
      </rPr>
      <t xml:space="preserve"> Equivalent Emissions  (metric tons) - Stationary Combustion</t>
    </r>
  </si>
  <si>
    <r>
      <t>Total Biomass CO</t>
    </r>
    <r>
      <rPr>
        <b/>
        <vertAlign val="subscript"/>
        <sz val="10"/>
        <rFont val="Arial"/>
        <family val="2"/>
      </rPr>
      <t>2</t>
    </r>
    <r>
      <rPr>
        <b/>
        <sz val="10"/>
        <rFont val="Arial"/>
        <family val="2"/>
      </rPr>
      <t xml:space="preserve"> Equivalent Emissions  (metric tons)  - Stationary Combustion</t>
    </r>
  </si>
  <si>
    <r>
      <t>Total CO</t>
    </r>
    <r>
      <rPr>
        <b/>
        <vertAlign val="subscript"/>
        <sz val="10"/>
        <rFont val="Arial"/>
        <family val="2"/>
      </rPr>
      <t>2</t>
    </r>
    <r>
      <rPr>
        <b/>
        <sz val="10"/>
        <rFont val="Arial"/>
        <family val="2"/>
      </rPr>
      <t xml:space="preserve"> Equivalent Emissions  (metric tons)  - Mobile Sources</t>
    </r>
  </si>
  <si>
    <r>
      <t>Total Biomass CO</t>
    </r>
    <r>
      <rPr>
        <b/>
        <vertAlign val="subscript"/>
        <sz val="10"/>
        <rFont val="Arial"/>
        <family val="2"/>
      </rPr>
      <t>2</t>
    </r>
    <r>
      <rPr>
        <b/>
        <sz val="10"/>
        <rFont val="Arial"/>
        <family val="2"/>
      </rPr>
      <t xml:space="preserve"> Equivalent Emissions  (metric tons) - Mobile Sources</t>
    </r>
  </si>
  <si>
    <r>
      <t>Total CO</t>
    </r>
    <r>
      <rPr>
        <b/>
        <vertAlign val="subscript"/>
        <sz val="10"/>
        <rFont val="Arial"/>
        <family val="2"/>
      </rPr>
      <t>2</t>
    </r>
    <r>
      <rPr>
        <b/>
        <sz val="10"/>
        <rFont val="Arial"/>
        <family val="2"/>
      </rPr>
      <t xml:space="preserve"> Equivalent Emissions  (metric tons) - Refrigeration and AC Equipment</t>
    </r>
  </si>
  <si>
    <r>
      <t>Total CO</t>
    </r>
    <r>
      <rPr>
        <b/>
        <vertAlign val="subscript"/>
        <sz val="10"/>
        <rFont val="Arial"/>
        <family val="2"/>
      </rPr>
      <t xml:space="preserve">2 </t>
    </r>
    <r>
      <rPr>
        <b/>
        <sz val="10"/>
        <rFont val="Arial"/>
        <family val="2"/>
      </rPr>
      <t>Equivalent Emissions  (metric tons) - Fire Suppression Equipment</t>
    </r>
  </si>
  <si>
    <r>
      <t>Total CO</t>
    </r>
    <r>
      <rPr>
        <b/>
        <vertAlign val="subscript"/>
        <sz val="10"/>
        <rFont val="Arial"/>
        <family val="2"/>
      </rPr>
      <t>2</t>
    </r>
    <r>
      <rPr>
        <b/>
        <sz val="10"/>
        <rFont val="Arial"/>
        <family val="2"/>
      </rPr>
      <t xml:space="preserve"> Equivalent Emissions  (metric tons) - Purchased Gas</t>
    </r>
  </si>
  <si>
    <r>
      <t>Total CO</t>
    </r>
    <r>
      <rPr>
        <b/>
        <vertAlign val="subscript"/>
        <sz val="10"/>
        <rFont val="Arial"/>
        <family val="2"/>
      </rPr>
      <t>2</t>
    </r>
    <r>
      <rPr>
        <b/>
        <sz val="10"/>
        <rFont val="Arial"/>
        <family val="2"/>
      </rPr>
      <t xml:space="preserve"> Equivalent Emissions  (metric tons) - Waste Gas Combustion</t>
    </r>
  </si>
  <si>
    <r>
      <t>Total CO</t>
    </r>
    <r>
      <rPr>
        <b/>
        <vertAlign val="subscript"/>
        <sz val="10"/>
        <rFont val="Arial"/>
        <family val="2"/>
      </rPr>
      <t>2</t>
    </r>
    <r>
      <rPr>
        <b/>
        <sz val="10"/>
        <rFont val="Arial"/>
        <family val="2"/>
      </rPr>
      <t xml:space="preserve"> Equivalent Emissions  (metric tons) - Commuting</t>
    </r>
  </si>
  <si>
    <r>
      <t>Total CO</t>
    </r>
    <r>
      <rPr>
        <b/>
        <vertAlign val="subscript"/>
        <sz val="10"/>
        <rFont val="Arial"/>
        <family val="2"/>
      </rPr>
      <t>2</t>
    </r>
    <r>
      <rPr>
        <b/>
        <sz val="10"/>
        <rFont val="Arial"/>
        <family val="2"/>
      </rPr>
      <t xml:space="preserve"> Equivalent Emissions  (metric tons) - Product Transport</t>
    </r>
  </si>
  <si>
    <t>On this sheet you will find general suggestions regarding GHG inventory data management.</t>
  </si>
  <si>
    <t>DATA MANAGEMENT</t>
  </si>
  <si>
    <t>* Address (including zip code)</t>
  </si>
  <si>
    <t>* Facility Name or Site ID</t>
  </si>
  <si>
    <t>* Type of Facility</t>
  </si>
  <si>
    <t>Electricity Data</t>
  </si>
  <si>
    <t>Mobile Fuel Data</t>
  </si>
  <si>
    <t>* List of Vehicles (Year, Make, Model, Fuel Type)</t>
  </si>
  <si>
    <t>* Fuel Consumption by Vehicle</t>
  </si>
  <si>
    <t>* Fuel Cost by Vehicle</t>
  </si>
  <si>
    <t>Refrigeration and AC Data</t>
  </si>
  <si>
    <t>Fire Suppression Data</t>
  </si>
  <si>
    <t>Purchased Gas Data</t>
  </si>
  <si>
    <t>Waste Gas Data</t>
  </si>
  <si>
    <t>Steam Data</t>
  </si>
  <si>
    <t>* Steam Provider Emission Factors</t>
  </si>
  <si>
    <t>* Mileage by Trip (i.e., for each leg of transport)</t>
  </si>
  <si>
    <t>* Mode of Transportation</t>
  </si>
  <si>
    <t>* Mode of Transportation per Employee</t>
  </si>
  <si>
    <t>Benchmarks</t>
  </si>
  <si>
    <t>Building Type</t>
  </si>
  <si>
    <t>Midwest</t>
  </si>
  <si>
    <t>South</t>
  </si>
  <si>
    <t>West</t>
  </si>
  <si>
    <t>Office</t>
  </si>
  <si>
    <t>Warehouse and Storage</t>
  </si>
  <si>
    <t>Electricity Intensity</t>
  </si>
  <si>
    <t>Natural Gas Intensity</t>
  </si>
  <si>
    <t>Fuel Oil Intensity</t>
  </si>
  <si>
    <t>All others</t>
  </si>
  <si>
    <t>QUALITY ASSURANCE/QUALITY CONTROL (QA/QC) - Suggested Checks</t>
  </si>
  <si>
    <t xml:space="preserve">Compare usage data from one year to the next.  </t>
  </si>
  <si>
    <t xml:space="preserve">2. If there is a significant change, can it be explained? </t>
  </si>
  <si>
    <t>Northeast</t>
  </si>
  <si>
    <t>Data Collection Checklist (by equipment and/or facility)</t>
  </si>
  <si>
    <t>Type of waste gases combusted</t>
  </si>
  <si>
    <t>Gas components</t>
  </si>
  <si>
    <t>Data Collection Checklist (for all applicable facilities)</t>
  </si>
  <si>
    <t>Type of gas purchased</t>
  </si>
  <si>
    <t>Amount of gas purchased</t>
  </si>
  <si>
    <t>Purpose for the gas</t>
  </si>
  <si>
    <t xml:space="preserve">Amount of steam purchased </t>
  </si>
  <si>
    <t>Amount of electricity purchased</t>
  </si>
  <si>
    <t>http://www.epa.gov/ozone/snap/refrigerants/refblend.html</t>
  </si>
  <si>
    <t>Optional: Track HCFC and CFCs, such as R-22</t>
  </si>
  <si>
    <t xml:space="preserve">Choose one of three different calculation methods available in the “Refrigeration and AC” section of the Calculator.  The types of refrigerants along with the data needs for each method are listed in the Calculator.  Data for these sources is often collected from maintenance and inspection records, work orders, or invoices from contractors that service this equipment.  Refrigerants not included on the list may be chemicals that do not need to be included in the inventory.  For example, ozone depleting substances, such as chlorofluorocarbons (CFCs) or “freon” and hydrochlorofluorocarbons (HCFCs), are regulated internationally and are typically excluded from a GHG inventory or reported as a memo item.  A reason to track these sources is to provide explanation for the increase of HFCs and PFCs when they replace the phased out CFCs and HCFCs. </t>
  </si>
  <si>
    <t>Vehicle Classification Guidelines</t>
  </si>
  <si>
    <r>
      <t>Table 1.  Personal Vehicle, Rental Car or Taxi - Business Travel by Vehicle-Miles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t>
    </r>
  </si>
  <si>
    <t>Data Collection Checklist</t>
  </si>
  <si>
    <t>Data Collection Checklist (for all employee travel)</t>
  </si>
  <si>
    <t>Collect information about each employee’s commuting method.  If not all employees can provide information on their commuting habits, you can calculate an average per employee and multiply by total employees to estimate. For commuters that use a personal vehicle, the appropriate vehicle type should be selected from the Calculator and data collected for the vehicle-miles during the reporting period.  For rail, bus, and air travel, the mode of transport should be selected from the Calculator options and an estimate of the passenger mileage data provided for each.</t>
  </si>
  <si>
    <t>Mode of transport per leg</t>
  </si>
  <si>
    <t>All product transport legs (origin and destination) and mileage</t>
  </si>
  <si>
    <t xml:space="preserve">Ton-Miles </t>
  </si>
  <si>
    <t>Long Haul (&gt;= 2300 miles)</t>
  </si>
  <si>
    <t>Biodiesel Percent:</t>
  </si>
  <si>
    <t xml:space="preserve">                  - Select "Vehicle Type" from drop down box (closest type available).  </t>
  </si>
  <si>
    <t xml:space="preserve">                     </t>
  </si>
  <si>
    <r>
      <t>SF</t>
    </r>
    <r>
      <rPr>
        <vertAlign val="subscript"/>
        <sz val="10"/>
        <rFont val="Arial"/>
        <family val="2"/>
      </rPr>
      <t xml:space="preserve">6 </t>
    </r>
  </si>
  <si>
    <r>
      <t>C</t>
    </r>
    <r>
      <rPr>
        <vertAlign val="subscript"/>
        <sz val="10"/>
        <rFont val="Arial"/>
        <family val="2"/>
      </rPr>
      <t>3</t>
    </r>
    <r>
      <rPr>
        <sz val="10"/>
        <rFont val="Arial"/>
        <family val="2"/>
      </rPr>
      <t>F</t>
    </r>
    <r>
      <rPr>
        <vertAlign val="subscript"/>
        <sz val="10"/>
        <rFont val="Arial"/>
        <family val="2"/>
      </rPr>
      <t>8</t>
    </r>
  </si>
  <si>
    <r>
      <t>C</t>
    </r>
    <r>
      <rPr>
        <vertAlign val="subscript"/>
        <sz val="10"/>
        <rFont val="Arial"/>
        <family val="2"/>
      </rPr>
      <t>4</t>
    </r>
    <r>
      <rPr>
        <sz val="10"/>
        <rFont val="Arial"/>
        <family val="2"/>
      </rPr>
      <t>F</t>
    </r>
    <r>
      <rPr>
        <vertAlign val="subscript"/>
        <sz val="10"/>
        <rFont val="Arial"/>
        <family val="2"/>
      </rPr>
      <t>10</t>
    </r>
  </si>
  <si>
    <r>
      <t>c-C</t>
    </r>
    <r>
      <rPr>
        <vertAlign val="subscript"/>
        <sz val="10"/>
        <rFont val="Arial"/>
        <family val="2"/>
      </rPr>
      <t>4</t>
    </r>
    <r>
      <rPr>
        <sz val="10"/>
        <rFont val="Arial"/>
        <family val="2"/>
      </rPr>
      <t>F</t>
    </r>
    <r>
      <rPr>
        <vertAlign val="subscript"/>
        <sz val="10"/>
        <rFont val="Arial"/>
        <family val="2"/>
      </rPr>
      <t>8</t>
    </r>
  </si>
  <si>
    <r>
      <t>C</t>
    </r>
    <r>
      <rPr>
        <vertAlign val="subscript"/>
        <sz val="10"/>
        <rFont val="Arial"/>
        <family val="2"/>
      </rPr>
      <t>5</t>
    </r>
    <r>
      <rPr>
        <sz val="10"/>
        <rFont val="Arial"/>
        <family val="2"/>
      </rPr>
      <t>F</t>
    </r>
    <r>
      <rPr>
        <vertAlign val="subscript"/>
        <sz val="10"/>
        <rFont val="Arial"/>
        <family val="2"/>
      </rPr>
      <t>12</t>
    </r>
  </si>
  <si>
    <r>
      <t>C</t>
    </r>
    <r>
      <rPr>
        <vertAlign val="subscript"/>
        <sz val="10"/>
        <rFont val="Arial"/>
        <family val="2"/>
      </rPr>
      <t>6</t>
    </r>
    <r>
      <rPr>
        <sz val="10"/>
        <rFont val="Arial"/>
        <family val="2"/>
      </rPr>
      <t>F</t>
    </r>
    <r>
      <rPr>
        <vertAlign val="subscript"/>
        <sz val="10"/>
        <rFont val="Arial"/>
        <family val="2"/>
      </rPr>
      <t>14</t>
    </r>
  </si>
  <si>
    <t>87.5% HCFC-22 , 11 HFC-152a , 1.5% propylene</t>
  </si>
  <si>
    <t>mmBtu / lb</t>
  </si>
  <si>
    <t>Mlb (1,000 pounds)</t>
  </si>
  <si>
    <t>Content</t>
  </si>
  <si>
    <r>
      <t>(lb/ft</t>
    </r>
    <r>
      <rPr>
        <b/>
        <vertAlign val="superscript"/>
        <sz val="10"/>
        <rFont val="Arial"/>
        <family val="2"/>
      </rPr>
      <t>3</t>
    </r>
    <r>
      <rPr>
        <b/>
        <sz val="10"/>
        <rFont val="Arial"/>
        <family val="2"/>
      </rPr>
      <t>)</t>
    </r>
  </si>
  <si>
    <r>
      <t>ft</t>
    </r>
    <r>
      <rPr>
        <vertAlign val="superscript"/>
        <sz val="10"/>
        <rFont val="Arial"/>
        <family val="2"/>
      </rPr>
      <t>3</t>
    </r>
  </si>
  <si>
    <t>Table 1.  Determining Emission Factor for Gas Waste Stream</t>
  </si>
  <si>
    <t xml:space="preserve">                  - If oxidation factor value is not known, use 100% as default value.</t>
  </si>
  <si>
    <t xml:space="preserve">Aviation Gasoline </t>
  </si>
  <si>
    <t xml:space="preserve">Refrigeration and Air Conditioning (AC) equipment sources can vary in size based on the type of organization.  Emissions from refrigeration and AC devices, in facilities or vehicles, are caused by the leakage of chemicals with global warming impact during use, maintenance and/or disposal of the device.  They are often small sources for office-based organizations.  For example, a small office building may have one rooftop AC unit while a grocery store chain may have several 
rooftop AC units per store as well as a multitude of other refrigeration equipment.  </t>
  </si>
  <si>
    <t>Other non-carbon</t>
  </si>
  <si>
    <t xml:space="preserve">                  - It is assumed that the remainder of the waste stream will be made up of compounds not containing carbon.</t>
  </si>
  <si>
    <t>There are three primary steps in completing a GHG inventory.  Each emissions source also has these three steps.</t>
  </si>
  <si>
    <t xml:space="preserve">Use the heat content sheet to convert units provided on the invoice into the units the Calculator requires. </t>
  </si>
  <si>
    <t xml:space="preserve">  (C) It is assumed that all gas purchased in the reporting period used and released during the reporting period.  If your business makes  
        bulk purchases and plans on using the gas for several years, divide the bulk amount by the years of usage and report that amount.   </t>
  </si>
  <si>
    <t>Dth (Decatherm)</t>
  </si>
  <si>
    <t>kWh electricity / sq ft / year</t>
  </si>
  <si>
    <t>standard cubic feet (scf) natural gas / sq ft / year</t>
  </si>
  <si>
    <t>gallons fuel oil / sq ft / year</t>
  </si>
  <si>
    <t xml:space="preserve">1. Is there a significant change in consumption data year over year?  If so, hone in on the facilities causing the change.  </t>
  </si>
  <si>
    <t>3. If this amount is not reasonable, is there an error in either the consumption data or the data entry?  Check monthly data  
    by facility.</t>
  </si>
  <si>
    <t xml:space="preserve"> R-134a is the predominantly used refrigerant in vehicle AC systems.  If you are uncertain of which refrigerant 
 your vehicles use, you can assume R-134a.</t>
  </si>
  <si>
    <t xml:space="preserve">Contact the manufacturer if you cannot find the list of propellants or chemicals used in the fire extinguisher.   </t>
  </si>
  <si>
    <t xml:space="preserve">If the flight length is unknown, assume "Medium Haul". </t>
  </si>
  <si>
    <t>Total for all Personal Vehicle Business Travel</t>
  </si>
  <si>
    <t>Total for all Rail and Bus Business Travel</t>
  </si>
  <si>
    <r>
      <t>Total CO</t>
    </r>
    <r>
      <rPr>
        <b/>
        <vertAlign val="subscript"/>
        <sz val="10"/>
        <rFont val="Arial"/>
        <family val="2"/>
      </rPr>
      <t>2</t>
    </r>
    <r>
      <rPr>
        <b/>
        <sz val="10"/>
        <rFont val="Arial"/>
        <family val="2"/>
      </rPr>
      <t xml:space="preserve"> Equivalent Emissions  (metric tons) - Employee Business Travel</t>
    </r>
  </si>
  <si>
    <t>Total for all Air Business Travel</t>
  </si>
  <si>
    <r>
      <t xml:space="preserve">(C) For employees traveling by car, select "Vehicle Type" and enter miles traveled (vehicle-miles) in </t>
    </r>
    <r>
      <rPr>
        <b/>
        <sz val="10"/>
        <rFont val="Arial"/>
        <family val="2"/>
      </rPr>
      <t>Table 1</t>
    </r>
    <r>
      <rPr>
        <sz val="10"/>
        <rFont val="Arial"/>
        <family val="2"/>
      </rPr>
      <t xml:space="preserve">.  </t>
    </r>
  </si>
  <si>
    <r>
      <t xml:space="preserve">(D) For employees traveling by rail or bus, select "Vehicle Type" and enter passenger-miles in </t>
    </r>
    <r>
      <rPr>
        <b/>
        <sz val="10"/>
        <rFont val="Arial"/>
        <family val="2"/>
      </rPr>
      <t>Table 2</t>
    </r>
    <r>
      <rPr>
        <sz val="10"/>
        <rFont val="Arial"/>
        <family val="2"/>
      </rPr>
      <t xml:space="preserve">.  </t>
    </r>
  </si>
  <si>
    <r>
      <t xml:space="preserve">(E) For employees traveling by air, select "Flight Length" and enter passenger-miles in </t>
    </r>
    <r>
      <rPr>
        <b/>
        <sz val="10"/>
        <rFont val="Arial"/>
        <family val="2"/>
      </rPr>
      <t>Table 3</t>
    </r>
    <r>
      <rPr>
        <sz val="10"/>
        <rFont val="Arial"/>
        <family val="2"/>
      </rPr>
      <t xml:space="preserve">.  </t>
    </r>
  </si>
  <si>
    <t xml:space="preserve">     vehicle type or flight length.</t>
  </si>
  <si>
    <t>(B) Mileage data can be entered for individual trips or individual employees, or miles for multiple employees can be subtotaled by</t>
  </si>
  <si>
    <t>Collect information about employees’ business travel method. Travel by vehicle-miles is used when the employee is traveling in a personal vehicle.  Travel by passenger-mile is used when the employee is traveling in a vehicle shared with many other people (i.e., bus, train or plane).  For travelers that use a personal vehicle, choose the vehicle type from the Calculator and collect data for the vehicle miles during the reporting period.  For rail, bus, and air travel, the mode of travel should be selected from the Calculator options and an estimate of the passenger mileage data provided for each.</t>
  </si>
  <si>
    <t>Type of transport (personal vehicle, train, bus, plane)</t>
  </si>
  <si>
    <t>Miles traveled for each transport type.  For air travel, mileage should ideally be determined considering each flight segment individually.  If you use a travel agent, they may have these data in their records.</t>
  </si>
  <si>
    <r>
      <rPr>
        <b/>
        <sz val="10"/>
        <rFont val="Arial"/>
        <family val="2"/>
      </rPr>
      <t>Option 3:</t>
    </r>
    <r>
      <rPr>
        <sz val="10"/>
        <rFont val="Arial"/>
        <family val="2"/>
      </rPr>
      <t xml:space="preserve"> It is recommended that the Screening Method be used only as a screening tool because the emission factors used in the approach are highly uncertain. Emission factors vary between individual pieces of equipment and over time. Even if the amount of refrigerant added to a piece of equipment has been tracked carefully, permitting the previous leak rate of that equipment to be established, that leak rate can change after a leak is repaired or as the equipment ages. </t>
    </r>
  </si>
  <si>
    <r>
      <t>Some operations, such as printing operations or paint booths, emit organic compounds.  In some cases these waste gas streams are combusted with a flare or thermal oxidizer.  This combustion results in CO</t>
    </r>
    <r>
      <rPr>
        <vertAlign val="subscript"/>
        <sz val="10"/>
        <rFont val="Arial"/>
        <family val="2"/>
      </rPr>
      <t>2</t>
    </r>
    <r>
      <rPr>
        <sz val="10"/>
        <rFont val="Arial"/>
        <family val="2"/>
      </rPr>
      <t xml:space="preserve"> emissions that should be included in GHG inventories.  These are uncommon sources for most office-based organizations.</t>
    </r>
  </si>
  <si>
    <t>Aviation Gasoline</t>
  </si>
  <si>
    <t xml:space="preserve">                      -- For each unit added or removed during reporting period, multiply its capacity by a usage factor (0.0 to 1.0). 
                         For example, if the equipment was installed in June, multiply by 0.5 or (6/12), if it was installed in  
                         September you would multiply by 0.33 (4/12).</t>
  </si>
  <si>
    <t>Trucks weighing more than 8,500 lb should be classified as "Heavy- Duty Trucks"</t>
  </si>
  <si>
    <t>Non-highway vehicles should be classified as "Construction Equip."</t>
  </si>
  <si>
    <t xml:space="preserve">                  - Enter "Fuel Usage" in appropriate units (units appear when vehicle type is selected).</t>
  </si>
  <si>
    <r>
      <t xml:space="preserve"> - If mileage or fuel usage is unknown, estimate using approximate fuel economy values (see </t>
    </r>
    <r>
      <rPr>
        <b/>
        <sz val="10"/>
        <rFont val="Arial"/>
        <family val="2"/>
      </rPr>
      <t>Reference Table</t>
    </r>
    <r>
      <rPr>
        <sz val="10"/>
        <rFont val="Arial"/>
        <family val="2"/>
      </rPr>
      <t xml:space="preserve"> below).</t>
    </r>
  </si>
  <si>
    <t>(B) When using biofuels, typically the biofuel (biodiesel or ethanol) is mixed with a petroleum fuel (diesel or gasoline) for use in 
      vehicles.   Enter the biodiesel and ethanol percentages of the fuel if known, or leave default values.</t>
  </si>
  <si>
    <r>
      <t>(C) Biomass CO</t>
    </r>
    <r>
      <rPr>
        <vertAlign val="subscript"/>
        <sz val="10"/>
        <rFont val="Arial"/>
        <family val="2"/>
      </rPr>
      <t>2</t>
    </r>
    <r>
      <rPr>
        <sz val="10"/>
        <rFont val="Arial"/>
        <family val="2"/>
      </rPr>
      <t xml:space="preserve"> emissions from biodiesel and ethanol are not reported in the total emissions, but are reported 
      separately at the bottom of the sheet.</t>
    </r>
  </si>
  <si>
    <t xml:space="preserve">Companies with home offices can optionally include these spaces in their inventory if the energy use associated with business activities can be reasonably estimated.  </t>
  </si>
  <si>
    <t>Pickups, Vans, and SUVs should be classified as "Light Trucks"</t>
  </si>
  <si>
    <t>Trucks weighing more than 8,500 lb should be classified as "Heavy- Duty Vehicles"</t>
  </si>
  <si>
    <t>Pickup trucks, vans, and SUVs should be classified as "Light-Duty Trucks"</t>
  </si>
  <si>
    <t>Fuel usage and mileage is reported the same for hybrid vehicles as for conventional vehicles.  If you are estimating mileage or fuel usage keep in mind the fuel efficiency.</t>
  </si>
  <si>
    <t xml:space="preserve">If you are using biodiesel or ethanol, the percentage of biodiesel and ethanol should be filled out accordingly.  If you are using these fuels in pure form, then you would enter 100%.  If you are using a mixture of biodiesel and petroleum diesel, or a mixture of ethanol and gasoline then you would enter the biodiesel or ethanol percentage in that mixture.  For example,  B100 is 100% biodiesel, likewise B20 is 20% biodiesel.  This is similar for ethanol; E85 is 85% ethanol. </t>
  </si>
  <si>
    <r>
      <t xml:space="preserve">                      -- If capacity of unit(s) is not known, use upper value of default capacity provided in the </t>
    </r>
    <r>
      <rPr>
        <b/>
        <sz val="10"/>
        <rFont val="Arial"/>
        <family val="2"/>
      </rPr>
      <t>Reference Table</t>
    </r>
    <r>
      <rPr>
        <sz val="10"/>
        <rFont val="Arial"/>
        <family val="2"/>
      </rPr>
      <t xml:space="preserve"> below.</t>
    </r>
  </si>
  <si>
    <t>Amount of refrigerant (HFC and PFC) emitted over the inventory reporting period</t>
  </si>
  <si>
    <r>
      <rPr>
        <b/>
        <sz val="10"/>
        <rFont val="Arial"/>
        <family val="2"/>
      </rPr>
      <t>Option 1:</t>
    </r>
    <r>
      <rPr>
        <sz val="10"/>
        <rFont val="Arial"/>
        <family val="2"/>
      </rPr>
      <t xml:space="preserve"> The Detailed Material Balance Method is recommended for companies who maintain their own equipment. This method requires data from inventories, purchase and service records, and the full and proper charges of equipment. It includes emissions from equipment operation, servicing, and disposal. </t>
    </r>
  </si>
  <si>
    <r>
      <rPr>
        <b/>
        <sz val="10"/>
        <rFont val="Arial"/>
        <family val="2"/>
      </rPr>
      <t xml:space="preserve">Option 2: </t>
    </r>
    <r>
      <rPr>
        <sz val="10"/>
        <rFont val="Arial"/>
        <family val="2"/>
      </rPr>
      <t>The Simplified Material Balance Method is recommended for companies who have contractors service their HFC/PFC containing equipment. This method tracks emissions from equipment operation, servicing, and disposal. The method requires data on the quantity of refrigerant: (a) used to fill new equipment during installation, (b) used to service equipment, and (c) recovered from retiring equipment, as well as the full and proper charges of new and retiring equipment. If notified in advance of the need for this information, the contractor should be able to provide it.</t>
    </r>
  </si>
  <si>
    <t xml:space="preserve">Emissions from refrigerants in an office-based organization are typically less than 2 percent of emissions.  Consider this as you decide which Option is most appropriate.  </t>
  </si>
  <si>
    <t xml:space="preserve">  (B)  Select ONE of the three options from which to estimate emissions.  Options range from most preferred method</t>
  </si>
  <si>
    <r>
      <t xml:space="preserve">  (A)  HFC, PFC, CO</t>
    </r>
    <r>
      <rPr>
        <vertAlign val="subscript"/>
        <sz val="10"/>
        <rFont val="Arial"/>
        <family val="2"/>
      </rPr>
      <t>2</t>
    </r>
    <r>
      <rPr>
        <sz val="10"/>
        <rFont val="Arial"/>
        <family val="2"/>
      </rPr>
      <t>, and SF</t>
    </r>
    <r>
      <rPr>
        <vertAlign val="subscript"/>
        <sz val="10"/>
        <rFont val="Arial"/>
        <family val="2"/>
      </rPr>
      <t>6</t>
    </r>
    <r>
      <rPr>
        <sz val="10"/>
        <rFont val="Arial"/>
        <family val="2"/>
      </rPr>
      <t xml:space="preserve"> refrigerants from facilities and vehicles are required to be included in the GHG inventory.  Ozone depleting 
         substances, such as CFCs and HCFCs, are regulated internationally and are typically excluded from a GHG inventory or reported 
         as a memo item. </t>
    </r>
  </si>
  <si>
    <t>Amount of fire suppressant (HFC and PFC) emitted over the inventory reporting period</t>
  </si>
  <si>
    <t>If your business makes bulk purchases and plans on using the gas for several years, you should divide the bulk amount by the years of usage and report that amount.</t>
  </si>
  <si>
    <r>
      <t>Collect information about the volume of waste gas that was combusted.  Because of the variable composition of waste gas streams, the user will also need to find out what chemicals are present in the waste gas stream, and the quantity of each chemical.   Please note that two other data needs, oxidation factor and gas density, should be also collected if practicable; however, default values can be used if needed.  The oxidation factor accounts for the amount of carbon in the fuel that is converted to CO</t>
    </r>
    <r>
      <rPr>
        <vertAlign val="subscript"/>
        <sz val="10"/>
        <rFont val="Arial"/>
        <family val="2"/>
      </rPr>
      <t>2</t>
    </r>
    <r>
      <rPr>
        <sz val="10"/>
        <rFont val="Arial"/>
        <family val="2"/>
      </rPr>
      <t xml:space="preserve"> during combustion. </t>
    </r>
  </si>
  <si>
    <t>Amount of each waste gas combusted</t>
  </si>
  <si>
    <t>Transport Type</t>
  </si>
  <si>
    <t>Tip: If more than one employee travels by the same vehicle type or transport type, miles can be combined and entered in one row.</t>
  </si>
  <si>
    <t xml:space="preserve">Commuting by vehicle-miles is used when the employee is traveling in their own vehicle.  Travel by passenger-mile is used when the employee is traveling in a vehicle shared with many other people (i.e., bus, train or plane).  </t>
  </si>
  <si>
    <t>Commuting days per year (consider vacation, sick time and business travel)</t>
  </si>
  <si>
    <r>
      <t xml:space="preserve">(B) For employees commuting in a personal vehicle, select the "Vehicle Type" and enter miles traveled (vehicle-miles) in </t>
    </r>
    <r>
      <rPr>
        <b/>
        <sz val="10"/>
        <rFont val="Arial"/>
        <family val="2"/>
      </rPr>
      <t>Table 1</t>
    </r>
    <r>
      <rPr>
        <sz val="10"/>
        <rFont val="Arial"/>
        <family val="2"/>
      </rPr>
      <t xml:space="preserve">.  </t>
    </r>
  </si>
  <si>
    <r>
      <t xml:space="preserve">(C) For employees commuting using public transportation, select the "Transport Type" and enter passenger-miles in </t>
    </r>
    <r>
      <rPr>
        <b/>
        <sz val="10"/>
        <rFont val="Arial"/>
        <family val="2"/>
      </rPr>
      <t>Table 2</t>
    </r>
    <r>
      <rPr>
        <sz val="10"/>
        <rFont val="Arial"/>
        <family val="2"/>
      </rPr>
      <t xml:space="preserve">.  </t>
    </r>
  </si>
  <si>
    <t>Weight transported per shipment for ton-mile calculation</t>
  </si>
  <si>
    <r>
      <rPr>
        <b/>
        <sz val="10"/>
        <rFont val="Arial"/>
        <family val="2"/>
      </rPr>
      <t>Example</t>
    </r>
    <r>
      <rPr>
        <sz val="10"/>
        <rFont val="Arial"/>
        <family val="2"/>
      </rPr>
      <t xml:space="preserve">: Every week a company ships 10 short tons of product 100 miles.  That equates to 52 shipments per year of 1,000 ton-miles each.  The sum of the individual shipments is 52,000 ton-miles per year.  Multiplying the total tons transported (520 tons) by the average miles per shipment (100 miles) provides the correct result of 52,000 ton-miles.  Multiplying the average tons transported per shipment (10 tons) times the total miles (5,200 miles) also gives the correct result.  Multiplying total tons (520 tons) by total miles (5,200 miles) gives an incorrect result. </t>
    </r>
  </si>
  <si>
    <r>
      <t xml:space="preserve">If you do not have shipment-by-shipment data, you may multiply </t>
    </r>
    <r>
      <rPr>
        <b/>
        <sz val="10"/>
        <rFont val="Arial"/>
        <family val="2"/>
      </rPr>
      <t>total</t>
    </r>
    <r>
      <rPr>
        <sz val="10"/>
        <rFont val="Arial"/>
        <family val="2"/>
      </rPr>
      <t xml:space="preserve"> tons transported by the </t>
    </r>
    <r>
      <rPr>
        <b/>
        <sz val="10"/>
        <rFont val="Arial"/>
        <family val="2"/>
      </rPr>
      <t>average</t>
    </r>
    <r>
      <rPr>
        <sz val="10"/>
        <rFont val="Arial"/>
        <family val="2"/>
      </rPr>
      <t xml:space="preserve"> miles per shipment.  You may also multiply </t>
    </r>
    <r>
      <rPr>
        <b/>
        <sz val="10"/>
        <rFont val="Arial"/>
        <family val="2"/>
      </rPr>
      <t>average</t>
    </r>
    <r>
      <rPr>
        <sz val="10"/>
        <rFont val="Arial"/>
        <family val="2"/>
      </rPr>
      <t xml:space="preserve"> tons transported per shipment times the </t>
    </r>
    <r>
      <rPr>
        <b/>
        <sz val="10"/>
        <rFont val="Arial"/>
        <family val="2"/>
      </rPr>
      <t>total</t>
    </r>
    <r>
      <rPr>
        <sz val="10"/>
        <rFont val="Arial"/>
        <family val="2"/>
      </rPr>
      <t xml:space="preserve"> miles transported.  Do not multiply </t>
    </r>
    <r>
      <rPr>
        <b/>
        <sz val="10"/>
        <rFont val="Arial"/>
        <family val="2"/>
      </rPr>
      <t>total</t>
    </r>
    <r>
      <rPr>
        <sz val="10"/>
        <rFont val="Arial"/>
        <family val="2"/>
      </rPr>
      <t xml:space="preserve"> tons by </t>
    </r>
    <r>
      <rPr>
        <b/>
        <sz val="10"/>
        <rFont val="Arial"/>
        <family val="2"/>
      </rPr>
      <t>total</t>
    </r>
    <r>
      <rPr>
        <sz val="10"/>
        <rFont val="Arial"/>
        <family val="2"/>
      </rPr>
      <t xml:space="preserve"> miles, as this will give an incorrect result. </t>
    </r>
  </si>
  <si>
    <t>* Mode of Transportation for each Shipment</t>
  </si>
  <si>
    <t>* Weight of Product Transported for each Shipment</t>
  </si>
  <si>
    <t>* Distance Product Transported for each Shipment</t>
  </si>
  <si>
    <r>
      <t xml:space="preserve">(B) For rail, water, or air shipments, enter ton-mile data in </t>
    </r>
    <r>
      <rPr>
        <b/>
        <sz val="10"/>
        <rFont val="Arial"/>
        <family val="2"/>
      </rPr>
      <t>Table 2.</t>
    </r>
    <r>
      <rPr>
        <sz val="10"/>
        <rFont val="Arial"/>
        <family val="2"/>
      </rPr>
      <t xml:space="preserve">  See Help sheet for details on calculating ton-miles.</t>
    </r>
  </si>
  <si>
    <t>To calculate ton-miles, multiply the weight transported (short tons) by the distance (miles) for each shipment.  In Table 2, you can enter data either for individual shipments, or for the sum of ton-miles for multiple shipments.</t>
  </si>
  <si>
    <r>
      <t>Total CO</t>
    </r>
    <r>
      <rPr>
        <b/>
        <vertAlign val="subscript"/>
        <sz val="10"/>
        <rFont val="Arial"/>
        <family val="2"/>
      </rPr>
      <t>2</t>
    </r>
    <r>
      <rPr>
        <b/>
        <sz val="10"/>
        <rFont val="Arial"/>
        <family val="2"/>
      </rPr>
      <t xml:space="preserve"> Equivalent Emission Reductions (metric tons) - Offsets</t>
    </r>
  </si>
  <si>
    <t xml:space="preserve"> ID</t>
  </si>
  <si>
    <r>
      <t>Offsets Purchased
(Metric Tons CO</t>
    </r>
    <r>
      <rPr>
        <b/>
        <vertAlign val="subscript"/>
        <sz val="10"/>
        <rFont val="Arial"/>
        <family val="2"/>
      </rPr>
      <t>2</t>
    </r>
    <r>
      <rPr>
        <b/>
        <sz val="10"/>
        <rFont val="Arial"/>
        <family val="2"/>
      </rPr>
      <t>e)</t>
    </r>
  </si>
  <si>
    <t>Project Description</t>
  </si>
  <si>
    <t>Tool Sheet: Unit Conversions</t>
  </si>
  <si>
    <t>Help - Data Management</t>
  </si>
  <si>
    <t>Data Management - HELP SHEET</t>
  </si>
  <si>
    <t>* Floor area (sq ft)</t>
  </si>
  <si>
    <t>* Number of Employees</t>
  </si>
  <si>
    <t>* Open and Close Date of Facility</t>
  </si>
  <si>
    <t>* Monthly Consumption Data by Meter or Facility</t>
  </si>
  <si>
    <t>* Monthly Cost Data by Meter or Facility</t>
  </si>
  <si>
    <t>Stationary Fuel Data (for each Fuel Type)</t>
  </si>
  <si>
    <t>* Miles Traveled by Vehicle</t>
  </si>
  <si>
    <t>* Inventory of Equipment by Facility</t>
  </si>
  <si>
    <t xml:space="preserve">                  - Enter refrigerant capacity (by equipment type and refrigerant) for all units operating and disposed during reporting period.</t>
  </si>
  <si>
    <t>* Refrigerant Capacity of Equipment</t>
  </si>
  <si>
    <t>* Refrigerant Purchase, Inventory, and Disposal Data</t>
  </si>
  <si>
    <t>* Fire Suppressant Capacity of Equipment</t>
  </si>
  <si>
    <t>* Fire Suppressant Purchase, Inventory, and Disposal Data</t>
  </si>
  <si>
    <t xml:space="preserve">  Disposal Data</t>
  </si>
  <si>
    <t>Refrigerant purchase, inventory, and disposal data</t>
  </si>
  <si>
    <t>Inventory of equipment by facility</t>
  </si>
  <si>
    <t>Refrigerant capacity of equipment</t>
  </si>
  <si>
    <t>Fire suppressant purchase, inventory, and disposal data</t>
  </si>
  <si>
    <t>Fire suppressant capacity of equipment</t>
  </si>
  <si>
    <t>* Amount of Gas Purchased</t>
  </si>
  <si>
    <t>* Types of Gas Purchased</t>
  </si>
  <si>
    <t>* Type and Composition of Waste Gases Combusted</t>
  </si>
  <si>
    <t>* Amount of each Waste Gas Combusted</t>
  </si>
  <si>
    <t>* Fuel Type Used to Generate Steam</t>
  </si>
  <si>
    <t>* Boiler Efficiency</t>
  </si>
  <si>
    <t>Electricity Emission Factors (System Average)</t>
  </si>
  <si>
    <t>The accuracy of a GHG inventory depends on the accuracy of the activity data.  Here are a few quick checks to make sure your data are realistic.  If any of these checks lead to questions, it is best to review the data month by month to look for data points that are significantly higher or lower than other points. Checking data sources such as utility bills can confirm data entry accuracy.</t>
  </si>
  <si>
    <t xml:space="preserve">Compare your energy consumption data against typical benchmarks. </t>
  </si>
  <si>
    <t xml:space="preserve">2. Does any facility look significantly higher or lower than these averages?  If so, can the difference be explained? </t>
  </si>
  <si>
    <t xml:space="preserve">1. Compare your energy consumption data per square foot of floor area against the averages by building type and region in the tables below.  See below for building type definitions. </t>
  </si>
  <si>
    <t>Calculated Unit Costs</t>
  </si>
  <si>
    <t xml:space="preserve">Calculated unit costs that are out of expected ranges can indicate data entry errors.  </t>
  </si>
  <si>
    <t xml:space="preserve">2. Is the unit cost within expected ranges?  Is it fairly constant month to month?  Keep in mind that very low consumption (such as with heating fuel during the summer) can skew the unit cost due to fixed monthly fees.  </t>
  </si>
  <si>
    <t>1. Use the cost and consumption data entered into your data management file to calculate the cost per unit of consumption for each month and each emissions source.</t>
  </si>
  <si>
    <t>3. If the calculated unit cost is not reasonable, is there an error in either the consumption data or the cost data?</t>
  </si>
  <si>
    <t>Help - Product Transport</t>
  </si>
  <si>
    <t xml:space="preserve">                  - Choose the appropriate gas from the drop down menu.</t>
  </si>
  <si>
    <t>- These should be expressed in lb / mmBtu of Steam.  Heat Content conversions can be found on the "Heat Content" sheet.</t>
  </si>
  <si>
    <t>- Boiler Efficiency is not necessary if emission factors are available.</t>
  </si>
  <si>
    <t>Medium- and Heavy-Duty Truck</t>
  </si>
  <si>
    <t>Stationary Combustion Emission Factors (Used for Steam and Stationary Combustion)</t>
  </si>
  <si>
    <t>A List of Facilities and Attributes</t>
  </si>
  <si>
    <t>Year Over Year Comparison</t>
  </si>
  <si>
    <t>Other 2-axle, 4-Tire Vehicles</t>
  </si>
  <si>
    <t>Single unit 2-Axle 6-Tire or More Trucks</t>
  </si>
  <si>
    <r>
      <t>CO</t>
    </r>
    <r>
      <rPr>
        <b/>
        <vertAlign val="subscript"/>
        <sz val="10"/>
        <rFont val="Arial"/>
        <family val="2"/>
      </rPr>
      <t>2</t>
    </r>
    <r>
      <rPr>
        <b/>
        <sz val="10"/>
        <rFont val="Arial"/>
        <family val="2"/>
      </rPr>
      <t xml:space="preserve"> Emission Factor 
(kg CO</t>
    </r>
    <r>
      <rPr>
        <b/>
        <vertAlign val="subscript"/>
        <sz val="10"/>
        <rFont val="Arial"/>
        <family val="2"/>
      </rPr>
      <t>2</t>
    </r>
    <r>
      <rPr>
        <b/>
        <sz val="10"/>
        <rFont val="Arial"/>
        <family val="2"/>
      </rPr>
      <t xml:space="preserve"> / unit)</t>
    </r>
  </si>
  <si>
    <t>Gas
GWP</t>
  </si>
  <si>
    <t>Step 4.     Enter Oxidation Factor</t>
  </si>
  <si>
    <t>Source
ID</t>
  </si>
  <si>
    <t>Source
Description</t>
  </si>
  <si>
    <t>Do you purchase any industrial gases for use in your business?  These gases may be purchased for use in manufacturing, testing, or laboratories.</t>
  </si>
  <si>
    <r>
      <t xml:space="preserve">                  - See example entry in first row (</t>
    </r>
    <r>
      <rPr>
        <i/>
        <sz val="10"/>
        <color indexed="21"/>
        <rFont val="Arial"/>
        <family val="2"/>
      </rPr>
      <t>GREEN Italics</t>
    </r>
    <r>
      <rPr>
        <sz val="10"/>
        <rFont val="Arial"/>
        <family val="2"/>
      </rPr>
      <t>).</t>
    </r>
  </si>
  <si>
    <t>50.5% HFC-125, 47% HFC-134a, 2.5% butane/pentane</t>
  </si>
  <si>
    <t>5.1% HFC-125, 93% HFC-134a, 1.9% butane/pentane</t>
  </si>
  <si>
    <t>63.2% HFC-125, 16% HFC-134a, 18% HFC-143a, 2.8% isobutane</t>
  </si>
  <si>
    <r>
      <t>NF</t>
    </r>
    <r>
      <rPr>
        <vertAlign val="subscript"/>
        <sz val="10"/>
        <rFont val="Arial"/>
        <family val="2"/>
      </rPr>
      <t>3</t>
    </r>
  </si>
  <si>
    <r>
      <rPr>
        <sz val="10"/>
        <rFont val="Arial"/>
        <family val="2"/>
      </rPr>
      <t xml:space="preserve">(C)  </t>
    </r>
    <r>
      <rPr>
        <u/>
        <sz val="10"/>
        <rFont val="Arial"/>
        <family val="2"/>
      </rPr>
      <t>Preferred Method</t>
    </r>
    <r>
      <rPr>
        <sz val="10"/>
        <rFont val="Arial"/>
        <family val="2"/>
      </rPr>
      <t xml:space="preserve"> (steam emission factors ARE available from your supplier). Example entry is shown in first data row (</t>
    </r>
    <r>
      <rPr>
        <i/>
        <sz val="10"/>
        <color indexed="21"/>
        <rFont val="Arial"/>
        <family val="2"/>
      </rPr>
      <t>GREEN Italics</t>
    </r>
    <r>
      <rPr>
        <sz val="10"/>
        <rFont val="Arial"/>
        <family val="2"/>
      </rPr>
      <t>).</t>
    </r>
  </si>
  <si>
    <r>
      <rPr>
        <sz val="10"/>
        <rFont val="Arial"/>
        <family val="2"/>
      </rPr>
      <t xml:space="preserve">(D)  </t>
    </r>
    <r>
      <rPr>
        <u/>
        <sz val="10"/>
        <rFont val="Arial"/>
        <family val="2"/>
      </rPr>
      <t>Alternative Method</t>
    </r>
    <r>
      <rPr>
        <sz val="10"/>
        <rFont val="Arial"/>
        <family val="2"/>
      </rPr>
      <t xml:space="preserve"> (supplier-specific emission factors are NOT available). Example entry is shown in second data row (</t>
    </r>
    <r>
      <rPr>
        <i/>
        <sz val="10"/>
        <color indexed="30"/>
        <rFont val="Arial"/>
        <family val="2"/>
      </rPr>
      <t>BLUE Italics</t>
    </r>
    <r>
      <rPr>
        <sz val="10"/>
        <rFont val="Arial"/>
        <family val="2"/>
      </rPr>
      <t>).</t>
    </r>
  </si>
  <si>
    <t>EPA Simplified GHG Emissions Calculator (SGEC)</t>
  </si>
  <si>
    <r>
      <t xml:space="preserve">1.  GWPs are from </t>
    </r>
    <r>
      <rPr>
        <i/>
        <sz val="8"/>
        <rFont val="Arial"/>
        <family val="2"/>
      </rPr>
      <t xml:space="preserve">Intergovernmental Panel on Climate Change (IPCC) Fourth Assessment Report (2007).  </t>
    </r>
  </si>
  <si>
    <r>
      <t>- If no data are available use 0.00255 lb-mole/ft</t>
    </r>
    <r>
      <rPr>
        <vertAlign val="superscript"/>
        <sz val="10"/>
        <rFont val="Arial"/>
        <family val="2"/>
      </rPr>
      <t>3</t>
    </r>
    <r>
      <rPr>
        <sz val="10"/>
        <rFont val="Arial"/>
        <family val="2"/>
      </rPr>
      <t xml:space="preserve"> as a default value, based on conditions of 25</t>
    </r>
    <r>
      <rPr>
        <vertAlign val="superscript"/>
        <sz val="10"/>
        <rFont val="Arial"/>
        <family val="2"/>
      </rPr>
      <t>o</t>
    </r>
    <r>
      <rPr>
        <sz val="10"/>
        <rFont val="Arial"/>
        <family val="2"/>
      </rPr>
      <t>C and 1 atm.</t>
    </r>
  </si>
  <si>
    <r>
      <t>Industrial gases are sometimes used in processes such as manufacturing, testing, or laboratory uses.  For example, CO</t>
    </r>
    <r>
      <rPr>
        <vertAlign val="subscript"/>
        <sz val="10"/>
        <rFont val="Arial"/>
        <family val="2"/>
      </rPr>
      <t>2</t>
    </r>
    <r>
      <rPr>
        <sz val="10"/>
        <rFont val="Arial"/>
        <family val="2"/>
      </rPr>
      <t xml:space="preserve"> gas is often used in welding operations.  These gases are typically released to the atmosphere after use.  Any releases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must be included in the GHG inventory.  Ozone depleting substances, such as CFCs and HCFCs, are regulated internationally and are typically excluded from a GHG inventory or reported as a memo item.</t>
    </r>
  </si>
  <si>
    <r>
      <t xml:space="preserve">2.  GWPs are from </t>
    </r>
    <r>
      <rPr>
        <i/>
        <sz val="8"/>
        <rFont val="Arial"/>
        <family val="2"/>
      </rPr>
      <t xml:space="preserve">Intergovernmental Panel on Climate Change (IPCC) Fourth Assessment Report (2007).  </t>
    </r>
  </si>
  <si>
    <r>
      <t xml:space="preserve">3.  GWPs are from </t>
    </r>
    <r>
      <rPr>
        <i/>
        <sz val="8"/>
        <rFont val="Arial"/>
        <family val="2"/>
      </rPr>
      <t xml:space="preserve">Intergovernmental Panel on Climate Change (IPCC) Fourth Assessment Report (2007).  </t>
    </r>
  </si>
  <si>
    <r>
      <t>(C) Biomass CO</t>
    </r>
    <r>
      <rPr>
        <vertAlign val="subscript"/>
        <sz val="10"/>
        <rFont val="Arial"/>
        <family val="2"/>
      </rPr>
      <t>2</t>
    </r>
    <r>
      <rPr>
        <sz val="10"/>
        <rFont val="Arial"/>
        <family val="2"/>
      </rPr>
      <t xml:space="preserve"> emissions are not reported in the total emissions, but are reported separately at the bottom of the sheet.</t>
    </r>
  </si>
  <si>
    <t xml:space="preserve">   (B) If fuel is consumed in a facility but stationary fuel consumption data are not available, an estimate should be made 
         for completeness.  See the "Items to Note" section of the Help sheet for suggested estimation approaches. </t>
  </si>
  <si>
    <t>Area (sq ft)</t>
  </si>
  <si>
    <t>Source
Area (sq ft)</t>
  </si>
  <si>
    <t>Efficiency</t>
  </si>
  <si>
    <r>
      <t xml:space="preserve">   (A) Enter annual data for each combustion unit, facility, or site (by fuel type) in ORANGE cells on </t>
    </r>
    <r>
      <rPr>
        <b/>
        <sz val="10"/>
        <rFont val="Arial"/>
        <family val="2"/>
      </rPr>
      <t>Table 1</t>
    </r>
    <r>
      <rPr>
        <sz val="10"/>
        <rFont val="Arial"/>
        <family val="2"/>
      </rPr>
      <t>.</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</si>
  <si>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t xml:space="preserve">  (C)  Enter annual data in ORANGE cells as appropriate for the selected option.</t>
  </si>
  <si>
    <t xml:space="preserve">  (B) Select the gas you purchase from the drop down menu and the amount purchased for the annual inventory reporting period in the 
        ORANGE cells. </t>
  </si>
  <si>
    <r>
      <t>(A) Enter annual data in ORANGE cells in the table corresponding to the transport method.  Example entry is shown in first row (</t>
    </r>
    <r>
      <rPr>
        <i/>
        <sz val="10"/>
        <color indexed="21"/>
        <rFont val="Arial"/>
        <family val="2"/>
      </rPr>
      <t>GREEN Italics</t>
    </r>
    <r>
      <rPr>
        <sz val="10"/>
        <rFont val="Arial"/>
        <family val="2"/>
      </rPr>
      <t>).</t>
    </r>
  </si>
  <si>
    <r>
      <t xml:space="preserve">  (A)  Enter quantity of offsets purchased for each offset project in terms of CO</t>
    </r>
    <r>
      <rPr>
        <vertAlign val="subscript"/>
        <sz val="10"/>
        <rFont val="Arial"/>
        <family val="2"/>
      </rPr>
      <t>2</t>
    </r>
    <r>
      <rPr>
        <sz val="10"/>
        <rFont val="Arial"/>
        <family val="2"/>
      </rPr>
      <t xml:space="preserve"> equivalent in ORANGE    
         cells of </t>
    </r>
    <r>
      <rPr>
        <b/>
        <sz val="10"/>
        <rFont val="Arial"/>
        <family val="2"/>
      </rPr>
      <t xml:space="preserve">Table 1.  </t>
    </r>
    <r>
      <rPr>
        <sz val="10"/>
        <rFont val="Arial"/>
        <family val="2"/>
      </rPr>
      <t>Enter offsets purchased for the inventory reporting period.</t>
    </r>
    <r>
      <rPr>
        <b/>
        <sz val="10"/>
        <rFont val="Arial"/>
        <family val="2"/>
      </rPr>
      <t xml:space="preserve"> </t>
    </r>
    <r>
      <rPr>
        <sz val="10"/>
        <rFont val="Arial"/>
        <family val="2"/>
      </rPr>
      <t xml:space="preserve"> Example entry is shown in 
         first row (</t>
    </r>
    <r>
      <rPr>
        <i/>
        <sz val="10"/>
        <color indexed="21"/>
        <rFont val="Arial"/>
        <family val="2"/>
      </rPr>
      <t>GREEN Italics</t>
    </r>
    <r>
      <rPr>
        <sz val="10"/>
        <rFont val="Arial"/>
        <family val="2"/>
      </rPr>
      <t>).</t>
    </r>
  </si>
  <si>
    <r>
      <t>CO</t>
    </r>
    <r>
      <rPr>
        <vertAlign val="subscript"/>
        <sz val="11"/>
        <rFont val="Arial"/>
        <family val="2"/>
      </rPr>
      <t>2</t>
    </r>
    <r>
      <rPr>
        <sz val="11"/>
        <rFont val="Arial"/>
        <family val="2"/>
      </rPr>
      <t>-e (metric tons)</t>
    </r>
  </si>
  <si>
    <r>
      <t>Biomass CO</t>
    </r>
    <r>
      <rPr>
        <vertAlign val="subscript"/>
        <sz val="11"/>
        <rFont val="Arial"/>
        <family val="2"/>
      </rPr>
      <t xml:space="preserve">2 </t>
    </r>
    <r>
      <rPr>
        <sz val="11"/>
        <rFont val="Arial"/>
        <family val="2"/>
      </rPr>
      <t>Emissions from Stationary Sources</t>
    </r>
  </si>
  <si>
    <r>
      <t>Biomass CO</t>
    </r>
    <r>
      <rPr>
        <vertAlign val="subscript"/>
        <sz val="11"/>
        <rFont val="Arial"/>
        <family val="2"/>
      </rPr>
      <t>2</t>
    </r>
    <r>
      <rPr>
        <sz val="11"/>
        <rFont val="Arial"/>
        <family val="2"/>
      </rPr>
      <t xml:space="preserve"> Emissions from Mobile Sources</t>
    </r>
  </si>
  <si>
    <t xml:space="preserve">Start: </t>
  </si>
  <si>
    <t>End:</t>
  </si>
  <si>
    <r>
      <t xml:space="preserve">Before entering data, please: 1) Enable Macros and 2) Familiarize yourself with the </t>
    </r>
    <r>
      <rPr>
        <b/>
        <i/>
        <sz val="12"/>
        <color indexed="21"/>
        <rFont val="Arial"/>
        <family val="2"/>
      </rPr>
      <t>Guide to Greenhouse Gas Management for Small Business &amp; Low Emitters.</t>
    </r>
    <r>
      <rPr>
        <b/>
        <sz val="12"/>
        <color indexed="21"/>
        <rFont val="Arial"/>
        <family val="2"/>
      </rPr>
      <t xml:space="preserve"> 
</t>
    </r>
  </si>
  <si>
    <t xml:space="preserve">Download the guide: </t>
  </si>
  <si>
    <r>
      <t xml:space="preserve">(1) </t>
    </r>
    <r>
      <rPr>
        <b/>
        <sz val="11"/>
        <rFont val="Arial"/>
        <family val="2"/>
      </rPr>
      <t>DEFINE</t>
    </r>
    <r>
      <rPr>
        <sz val="11"/>
        <rFont val="Arial"/>
        <family val="2"/>
      </rPr>
      <t xml:space="preserve">: The first step in completing a GHG inventory is to determine the boundaries and emissions sources included within those boundaries. After you have defined your organizational and operational boundaries, you can use the questions on the "Boundary Questions" worksheet to help you determine which emissions sources are relevant to your business.  </t>
    </r>
  </si>
  <si>
    <r>
      <t xml:space="preserve">(2) </t>
    </r>
    <r>
      <rPr>
        <b/>
        <sz val="11"/>
        <rFont val="Arial"/>
        <family val="2"/>
      </rPr>
      <t>COLLECT</t>
    </r>
    <r>
      <rPr>
        <sz val="11"/>
        <rFont val="Arial"/>
        <family val="2"/>
      </rPr>
      <t xml:space="preserve">: The second step is to collect data for the defined annual period. This step is typically the most time consuming, since the data can be difficult to gather. This Calculator has help sheets with suggestions and guidance for each emissions source and a general help sheet for data management. </t>
    </r>
    <r>
      <rPr>
        <b/>
        <sz val="11"/>
        <rFont val="Arial"/>
        <family val="2"/>
      </rPr>
      <t>Click the drop down menu boxes below to navigate to these sheets</t>
    </r>
    <r>
      <rPr>
        <sz val="11"/>
        <rFont val="Arial"/>
        <family val="2"/>
      </rPr>
      <t xml:space="preserve">. </t>
    </r>
  </si>
  <si>
    <r>
      <t xml:space="preserve">(3) </t>
    </r>
    <r>
      <rPr>
        <b/>
        <sz val="11"/>
        <rFont val="Arial"/>
        <family val="2"/>
      </rPr>
      <t>QUANTIFY</t>
    </r>
    <r>
      <rPr>
        <sz val="11"/>
        <rFont val="Arial"/>
        <family val="2"/>
      </rPr>
      <t xml:space="preserve">: The third step is to calculate emissions. </t>
    </r>
    <r>
      <rPr>
        <sz val="11"/>
        <rFont val="Arial"/>
        <family val="2"/>
      </rPr>
      <t xml:space="preserve">This Calculator is designed to complete the emissions quantification step for you. Once the user enters data in this MS Excel spreadsheet, the emissions will be calculated and totaled on the "Summary" sheet. </t>
    </r>
    <r>
      <rPr>
        <b/>
        <sz val="10"/>
        <color indexed="10"/>
        <rFont val="Arial"/>
        <family val="2"/>
      </rPr>
      <t/>
    </r>
  </si>
  <si>
    <t>Calculator Guidance - Important Information</t>
  </si>
  <si>
    <t xml:space="preserve">  (C) Data must be entered in the units specified on the data entry sheets. Use the "Unit Conversions" or "Heat Content" sheets if unit 
         conversion is necessary prior to entering data into the Calculator.</t>
  </si>
  <si>
    <t xml:space="preserve">  (D) If more guidance is needed, you can reference the emission factor data sources found on the "Emission Factors" sheet.</t>
  </si>
  <si>
    <t>Calculator Notes</t>
  </si>
  <si>
    <t>Use the questions below to help you determine which emissions sources should be included in the inventory.</t>
  </si>
  <si>
    <t>Do you have facilities that burn fuels on-site (e.g., natural gas, propane, coal, fuel oil for heating, diesel fuel for backup generators, biomass fuels)?</t>
  </si>
  <si>
    <t>If you answer "yes" to a question below, that emissions source should be included in your inventory. For each facility within the defined organizational boundary, collect the necessary data for the selected time period. Use the corresponding Excel sheet to quantify these emissions.</t>
  </si>
  <si>
    <t>Do your employees commute to work in personal vehicles or use public transportation?</t>
  </si>
  <si>
    <r>
      <t xml:space="preserve">The total GHG emissions from each source category are provided below. You may also use this summary            sheet to fill out the </t>
    </r>
    <r>
      <rPr>
        <i/>
        <sz val="11"/>
        <rFont val="Arial"/>
        <family val="2"/>
      </rPr>
      <t>Annual GHG Inventory Summary and Goal Tracking Form</t>
    </r>
    <r>
      <rPr>
        <sz val="11"/>
        <rFont val="Arial"/>
        <family val="2"/>
      </rPr>
      <t xml:space="preserve"> as this calculator only                     quantifies one year of emissions at a time. </t>
    </r>
  </si>
  <si>
    <r>
      <t>By entering the data below into the appropriate cell of the</t>
    </r>
    <r>
      <rPr>
        <i/>
        <sz val="11"/>
        <rFont val="Arial"/>
        <family val="2"/>
      </rPr>
      <t xml:space="preserve"> Annual GHG Inventory Summary and Goal Tracking Form,</t>
    </r>
    <r>
      <rPr>
        <sz val="11"/>
        <rFont val="Arial"/>
        <family val="2"/>
      </rPr>
      <t xml:space="preserve"> you will be able to compare multiple years of data.</t>
    </r>
  </si>
  <si>
    <t xml:space="preserve">    (B) The "Go To Sheet" buttons can be used to navigate to the data entry sheets. </t>
  </si>
  <si>
    <t>Organization Name:</t>
  </si>
  <si>
    <t>Organization Address:</t>
  </si>
  <si>
    <t>Organizational Information:</t>
  </si>
  <si>
    <t>Summary of Organization's Emissions:</t>
  </si>
  <si>
    <t>Liquefied Petroleum Gas (LPG)</t>
  </si>
  <si>
    <t xml:space="preserve">                    supplier), disposed units were disposed of during the reporting period, and existing units are all others.</t>
  </si>
  <si>
    <r>
      <t xml:space="preserve">                  - See example entry in first row (</t>
    </r>
    <r>
      <rPr>
        <i/>
        <sz val="10"/>
        <color indexed="21"/>
        <rFont val="Arial"/>
        <family val="2"/>
      </rPr>
      <t>Green Italics</t>
    </r>
    <r>
      <rPr>
        <sz val="10"/>
        <rFont val="Arial"/>
        <family val="2"/>
      </rPr>
      <t>).</t>
    </r>
  </si>
  <si>
    <r>
      <t xml:space="preserve">  (A)  Any use and release of the seven major greenhouse gases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6</t>
    </r>
    <r>
      <rPr>
        <sz val="10"/>
        <rFont val="Arial"/>
        <family val="2"/>
      </rPr>
      <t>, and NF</t>
    </r>
    <r>
      <rPr>
        <vertAlign val="subscript"/>
        <sz val="10"/>
        <rFont val="Arial"/>
        <family val="2"/>
      </rPr>
      <t>3</t>
    </r>
    <r>
      <rPr>
        <sz val="10"/>
        <rFont val="Arial"/>
        <family val="2"/>
      </rPr>
      <t>) is required to be included in          the GHG inventory. Ozone depleting substances, such as CFCs and HCFCs, are regulated internationally and are typically excluded           from a GHG inventory or reported as a memo item.</t>
    </r>
  </si>
  <si>
    <r>
      <t>(A) Enter annual data in ORANGE cells in the table corresponding to the transport method.  Example entry is shown in first row (</t>
    </r>
    <r>
      <rPr>
        <i/>
        <sz val="10"/>
        <color indexed="57"/>
        <rFont val="Arial"/>
        <family val="2"/>
      </rPr>
      <t>GREEN Italics</t>
    </r>
    <r>
      <rPr>
        <sz val="10"/>
        <rFont val="Arial"/>
        <family val="2"/>
      </rPr>
      <t>).</t>
    </r>
  </si>
  <si>
    <t>www.fueleconomy.gov</t>
  </si>
  <si>
    <r>
      <t>Determine which of the three options is suitable for your business and enter the data into the appropriate orange colored boxes of the Calculator section titled “Refrigeration and AC.”  Once the data are entered into the Calculator, the CO</t>
    </r>
    <r>
      <rPr>
        <vertAlign val="subscript"/>
        <sz val="10"/>
        <rFont val="Arial"/>
        <family val="2"/>
      </rPr>
      <t>2</t>
    </r>
    <r>
      <rPr>
        <sz val="10"/>
        <rFont val="Arial"/>
        <family val="2"/>
      </rPr>
      <t xml:space="preserve"> equivalent emissions are calculated and summarized in the blue colored box.</t>
    </r>
  </si>
  <si>
    <r>
      <t>Enter the data into the appropriate orange colored boxes of the Calculator section titled “Fire Suppression.”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</si>
  <si>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of the Calculator section titled “Gas.”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</si>
  <si>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of the Calculator section titled “Waste Gases.”  Once the data are entered into the Calculator, the CO</t>
    </r>
    <r>
      <rPr>
        <vertAlign val="subscript"/>
        <sz val="10"/>
        <rFont val="Arial"/>
        <family val="2"/>
      </rPr>
      <t>2</t>
    </r>
    <r>
      <rPr>
        <sz val="10"/>
        <rFont val="Arial"/>
        <family val="2"/>
      </rPr>
      <t xml:space="preserve"> equivalent emissions are calculated and summarized in the blue colored box. </t>
    </r>
  </si>
  <si>
    <r>
      <t>Enter the data into the appropriate orange colored boxes (Tables 1-3) of the Calculator section titled “Business Travel.”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</si>
  <si>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 xml:space="preserve">Employee commuting emissions differ from the required mobile source emission reporting in that they account for employee travel to and from work in vehicles not owned or leased by the organization, including personal vehicles, buses, and trains.  </t>
  </si>
  <si>
    <r>
      <t>After the data has been collected, enter the data into the appropriate orange colored boxes (Tables 1-2) of the Calculator section titled “Commuting.”  Once the data are entered into the Calculator, the CO</t>
    </r>
    <r>
      <rPr>
        <vertAlign val="subscript"/>
        <sz val="10"/>
        <rFont val="Arial"/>
        <family val="2"/>
      </rPr>
      <t>2</t>
    </r>
    <r>
      <rPr>
        <sz val="10"/>
        <rFont val="Arial"/>
        <family val="2"/>
      </rPr>
      <t xml:space="preserve"> equivalent emissions are calculated and summarized in the green colored box.</t>
    </r>
  </si>
  <si>
    <t xml:space="preserve">If collecting data from all your employees is not possible due to the size of your organization, you may collect data from as many employees as possible, and use that sample to estimate for the rest of the employees.  Make sure the sample size is adequate, and keep in mind this will calculate less accurate results. </t>
  </si>
  <si>
    <r>
      <t>Enter the data into the appropriate orange colored boxes (Table 1) of the Calculator section titled "Offsets.”  Once the data are entered into the Calculator, the CO</t>
    </r>
    <r>
      <rPr>
        <vertAlign val="subscript"/>
        <sz val="10"/>
        <rFont val="Arial"/>
        <family val="2"/>
      </rPr>
      <t>2</t>
    </r>
    <r>
      <rPr>
        <sz val="10"/>
        <rFont val="Arial"/>
        <family val="2"/>
      </rPr>
      <t xml:space="preserve"> equivalent emissions are summarized in the green colored box.</t>
    </r>
  </si>
  <si>
    <r>
      <t>Enter the data into the appropriate orange colored boxes (Tables 1-2) of the Calculator section titled “Product Transport.”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</si>
  <si>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 xml:space="preserve">  (B) This Calculator has several "Tool Sheets" with useful reference data such as unit conversions, heat contents, and emission factors.  
         Click on the buttons below to go to the appropriate Tool Sheet.</t>
  </si>
  <si>
    <r>
      <t xml:space="preserve">  (A)  HFC, PFC, and CO</t>
    </r>
    <r>
      <rPr>
        <vertAlign val="subscript"/>
        <sz val="10"/>
        <rFont val="Arial"/>
        <family val="2"/>
      </rPr>
      <t xml:space="preserve">2 </t>
    </r>
    <r>
      <rPr>
        <sz val="10"/>
        <rFont val="Arial"/>
        <family val="2"/>
      </rPr>
      <t xml:space="preserve">fire suppressants are required to be included in the GHG inventory.  Other fire suppressants such as 
         Halon compounds, HCFCs, aqueous solutions, or inert gases are typically excluded from a GHG inventory. </t>
    </r>
  </si>
  <si>
    <t xml:space="preserve">  (C)  Select "eGRID subregion" from drop box and enter "Electricity Purchased."</t>
  </si>
  <si>
    <r>
      <t xml:space="preserve">                  - Enter supplier emission factors for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if available, otherwise leave factor cells blank.</t>
    </r>
  </si>
  <si>
    <t>https://www.epa.gov/climateleadership/center-corporate-climate-leadership-greenhouse-gas-inventory-guidance</t>
  </si>
  <si>
    <t>Scope 1 Emissions</t>
  </si>
  <si>
    <t>Scope 3 Emissions</t>
  </si>
  <si>
    <t>Market-Based</t>
  </si>
  <si>
    <t>Mixed (Electric Power Sector)</t>
  </si>
  <si>
    <t>Coal Coke</t>
  </si>
  <si>
    <t>Distillate Fuel Oil No. 2</t>
  </si>
  <si>
    <t>Residual Fuel Oil No. 6</t>
  </si>
  <si>
    <t>Wood and Wood Residuals</t>
  </si>
  <si>
    <t>Liquefied Petroleum Gases (LPG)</t>
  </si>
  <si>
    <t>Landfill Gas</t>
  </si>
  <si>
    <t>Petroleum Coke (Solid)</t>
  </si>
  <si>
    <t>Residual Fuel Oil</t>
  </si>
  <si>
    <t>Ethanol (100%)</t>
  </si>
  <si>
    <t>Biodiesel (100%)</t>
  </si>
  <si>
    <t>Kerosene-Type Jet Fuel</t>
  </si>
  <si>
    <r>
      <t>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for Non-Road Vehicles</t>
    </r>
  </si>
  <si>
    <t>Note: LPG non-road vehicles assumed equal to other gasoline sources.  Biodiesel vehicles assumed equal to other diesel sources.</t>
  </si>
  <si>
    <t xml:space="preserve">Source: </t>
  </si>
  <si>
    <r>
      <t>CH</t>
    </r>
    <r>
      <rPr>
        <b/>
        <vertAlign val="subscript"/>
        <sz val="10"/>
        <rFont val="Arial"/>
        <family val="2"/>
      </rPr>
      <t xml:space="preserve">4 </t>
    </r>
    <r>
      <rPr>
        <b/>
        <sz val="10"/>
        <rFont val="Arial"/>
        <family val="2"/>
      </rPr>
      <t xml:space="preserve">Factor 
(g / gallon) </t>
    </r>
  </si>
  <si>
    <r>
      <t>N</t>
    </r>
    <r>
      <rPr>
        <b/>
        <vertAlign val="subscript"/>
        <sz val="10"/>
        <rFont val="Arial"/>
        <family val="2"/>
      </rPr>
      <t>2</t>
    </r>
    <r>
      <rPr>
        <b/>
        <sz val="10"/>
        <rFont val="Arial"/>
        <family val="2"/>
      </rPr>
      <t xml:space="preserve">O Factor 
(g / gallon) </t>
    </r>
  </si>
  <si>
    <t>&gt;7,500</t>
  </si>
  <si>
    <t>Gasoline Motorcycles</t>
  </si>
  <si>
    <t>1960-1995</t>
  </si>
  <si>
    <t>Fire Suppresant Leak Rates</t>
  </si>
  <si>
    <t>Leak Rate</t>
  </si>
  <si>
    <t>HFC-41</t>
  </si>
  <si>
    <t>HFC-134</t>
  </si>
  <si>
    <t>HFC-143</t>
  </si>
  <si>
    <t>HFC-152</t>
  </si>
  <si>
    <t>HFC-161</t>
  </si>
  <si>
    <t>HFC-236cb</t>
  </si>
  <si>
    <t>HFC-236ea</t>
  </si>
  <si>
    <t>HFC-245ca</t>
  </si>
  <si>
    <t>HFC-245fa</t>
  </si>
  <si>
    <t>HFC-365mfc</t>
  </si>
  <si>
    <t>HFC-43-10mee</t>
  </si>
  <si>
    <r>
      <t>C</t>
    </r>
    <r>
      <rPr>
        <vertAlign val="subscript"/>
        <sz val="10"/>
        <rFont val="Arial"/>
        <family val="2"/>
      </rPr>
      <t>10</t>
    </r>
    <r>
      <rPr>
        <sz val="10"/>
        <rFont val="Arial"/>
        <family val="2"/>
      </rPr>
      <t>F</t>
    </r>
    <r>
      <rPr>
        <vertAlign val="subscript"/>
        <sz val="10"/>
        <rFont val="Arial"/>
        <family val="2"/>
      </rPr>
      <t>18</t>
    </r>
  </si>
  <si>
    <t>R-401A</t>
  </si>
  <si>
    <t>R-401B</t>
  </si>
  <si>
    <t>R-401C</t>
  </si>
  <si>
    <t>R-402A</t>
  </si>
  <si>
    <t>R-402B</t>
  </si>
  <si>
    <t>R-403B</t>
  </si>
  <si>
    <t>R-404A</t>
  </si>
  <si>
    <t>R-406A</t>
  </si>
  <si>
    <t>R-407A</t>
  </si>
  <si>
    <t>R-407B</t>
  </si>
  <si>
    <t>R-407C</t>
  </si>
  <si>
    <t>R-407D</t>
  </si>
  <si>
    <t>R-407E</t>
  </si>
  <si>
    <t>R-408A</t>
  </si>
  <si>
    <t>R-409A</t>
  </si>
  <si>
    <t>R-410A</t>
  </si>
  <si>
    <t>R-410B</t>
  </si>
  <si>
    <t>R-411A</t>
  </si>
  <si>
    <t>R-411B</t>
  </si>
  <si>
    <t>R-413A</t>
  </si>
  <si>
    <t>R-414A</t>
  </si>
  <si>
    <t>R-414B</t>
  </si>
  <si>
    <t>R-417A</t>
  </si>
  <si>
    <t>R-422A</t>
  </si>
  <si>
    <t>R-422D</t>
  </si>
  <si>
    <t>R-423A</t>
  </si>
  <si>
    <t>R-424A</t>
  </si>
  <si>
    <t>R-426A</t>
  </si>
  <si>
    <t>R-428A</t>
  </si>
  <si>
    <t>R-434A</t>
  </si>
  <si>
    <t>R-500</t>
  </si>
  <si>
    <t>R-502</t>
  </si>
  <si>
    <t>R-504</t>
  </si>
  <si>
    <t>R-507</t>
  </si>
  <si>
    <t>R-508A</t>
  </si>
  <si>
    <t>R-508B</t>
  </si>
  <si>
    <r>
      <t>Determine if CO</t>
    </r>
    <r>
      <rPr>
        <vertAlign val="subscript"/>
        <sz val="10"/>
        <rFont val="Arial"/>
        <family val="2"/>
      </rPr>
      <t>2</t>
    </r>
    <r>
      <rPr>
        <sz val="10"/>
        <rFont val="Arial"/>
        <family val="2"/>
      </rPr>
      <t>, CH</t>
    </r>
    <r>
      <rPr>
        <vertAlign val="subscript"/>
        <sz val="10"/>
        <rFont val="Arial"/>
        <family val="2"/>
      </rPr>
      <t>4</t>
    </r>
    <r>
      <rPr>
        <sz val="10"/>
        <rFont val="Arial"/>
        <family val="2"/>
      </rPr>
      <t>, N</t>
    </r>
    <r>
      <rPr>
        <vertAlign val="subscript"/>
        <sz val="10"/>
        <rFont val="Arial"/>
        <family val="2"/>
      </rPr>
      <t>2</t>
    </r>
    <r>
      <rPr>
        <sz val="10"/>
        <rFont val="Arial"/>
        <family val="2"/>
      </rPr>
      <t>O, PFCs, HFCs,  SF</t>
    </r>
    <r>
      <rPr>
        <vertAlign val="subscript"/>
        <sz val="10"/>
        <rFont val="Arial"/>
        <family val="2"/>
      </rPr>
      <t xml:space="preserve">6 </t>
    </r>
    <r>
      <rPr>
        <sz val="10"/>
        <rFont val="Arial"/>
        <family val="2"/>
      </rPr>
      <t>or</t>
    </r>
    <r>
      <rPr>
        <vertAlign val="subscript"/>
        <sz val="10"/>
        <rFont val="Arial"/>
        <family val="2"/>
      </rPr>
      <t xml:space="preserve"> </t>
    </r>
    <r>
      <rPr>
        <sz val="10"/>
        <rFont val="Arial"/>
        <family val="2"/>
      </rPr>
      <t>NF</t>
    </r>
    <r>
      <rPr>
        <vertAlign val="subscript"/>
        <sz val="10"/>
        <rFont val="Arial"/>
        <family val="2"/>
      </rPr>
      <t>3</t>
    </r>
    <r>
      <rPr>
        <sz val="10"/>
        <rFont val="Arial"/>
        <family val="2"/>
      </rPr>
      <t xml:space="preserve"> are used in processes such as those mentioned above.  If so, collect the mass of gas purchased.  If data are not available in mass units, the user may need to convert from volume to mass using the density of the specific gas.</t>
    </r>
  </si>
  <si>
    <t xml:space="preserve">                      -- Gas purchased includes:  Purchases for inventory, as part of equipment servicing (not from inventory),</t>
  </si>
  <si>
    <t xml:space="preserve">                         within purchased equipment, and gas returned to the site after off-site recycling.</t>
  </si>
  <si>
    <t>Scope 1 Emissions from Stationary Combustion Sources</t>
  </si>
  <si>
    <t>Scope 1 Emissions from Mobile Sources</t>
  </si>
  <si>
    <t>Scope 1 Emissions from Refrigeration and Air Conditioning Equipment</t>
  </si>
  <si>
    <t>Scope 1 Emissions from Fire Suppression Equipment</t>
  </si>
  <si>
    <t>Scope 1 Emissions from Purchased Gases</t>
  </si>
  <si>
    <t>Scope 1 Emissions from Combustion of Waste Gases</t>
  </si>
  <si>
    <t>Scope 2 Emissions from Purchase of Electricity</t>
  </si>
  <si>
    <t>Scope 2 Emissions from Purchase of Steam</t>
  </si>
  <si>
    <t>Scope 3 Emissions from Employee Business Travel</t>
  </si>
  <si>
    <t>Emission Factors</t>
  </si>
  <si>
    <t>(lb/MWh)</t>
  </si>
  <si>
    <t>&lt;enter factor&gt;</t>
  </si>
  <si>
    <t>Location-Based</t>
  </si>
  <si>
    <t>where electricity is consumed</t>
  </si>
  <si>
    <r>
      <t>CO</t>
    </r>
    <r>
      <rPr>
        <b/>
        <vertAlign val="subscript"/>
        <sz val="10"/>
        <rFont val="Arial"/>
        <family val="2"/>
      </rPr>
      <t>2</t>
    </r>
    <r>
      <rPr>
        <b/>
        <sz val="10"/>
        <rFont val="Arial"/>
        <family val="2"/>
      </rPr>
      <t xml:space="preserve"> Equivalent Emissions  (metric tons)</t>
    </r>
  </si>
  <si>
    <t>Location-Based Electricity Emissions</t>
  </si>
  <si>
    <t>Market-Based Electricity Emissions</t>
  </si>
  <si>
    <t xml:space="preserve">     - Indirect Emissions from Purchased Electricity (January 2016).</t>
  </si>
  <si>
    <t>Scope 2 Emissions from Purchase of Electricity - HELP SHEET</t>
  </si>
  <si>
    <t>Scope 1 Emissions from Stationary Combustion Sources - HELP SHEET</t>
  </si>
  <si>
    <t>Scope 1 Emissions from Mobile Sources - HELP SHEET</t>
  </si>
  <si>
    <t>Scope 1 Emissions from Refrigeration and Air Conditioning Equipment - HELP SHEET</t>
  </si>
  <si>
    <t>Scope 1 Emissions from Fire Suppression Equipment - HELP SHEET</t>
  </si>
  <si>
    <t>Scope 1 Emissions from Purchased Gases - HELP SHEET</t>
  </si>
  <si>
    <t>Scope 1 Emissions from Combustion of Waste Gases - HELP SHEET</t>
  </si>
  <si>
    <t>Scope 2 Emissions from Purchase of Steam - HELP SHEET</t>
  </si>
  <si>
    <t>Scope 3 Emissions from Employee Business Travel - HELP SHEET</t>
  </si>
  <si>
    <t>Scope 3 Emissions from Employee Commuting - HELP SHEET</t>
  </si>
  <si>
    <t>Scope 3 Emissions from Product Transport - HELP SHEET</t>
  </si>
  <si>
    <t xml:space="preserve">Amount of electricity purchased using contractual arrangements </t>
  </si>
  <si>
    <r>
      <t>Emission factors (CO</t>
    </r>
    <r>
      <rPr>
        <vertAlign val="subscript"/>
        <sz val="10"/>
        <rFont val="Arial"/>
        <family val="2"/>
      </rPr>
      <t>2</t>
    </r>
    <r>
      <rPr>
        <sz val="10"/>
        <rFont val="Arial"/>
        <family val="2"/>
      </rPr>
      <t>,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for contractual arrangements</t>
    </r>
  </si>
  <si>
    <t xml:space="preserve">There are two methods to quantify emissions from electricity: location-based and market-based.  Both must be quantified to be in accordance with the Center for Corporate Climate Leadership Greenhouse Gas Inventory Guidance.  </t>
  </si>
  <si>
    <t xml:space="preserve">  (B) If electricity consumption data are not available for a facility, an estimate should be made for completeness.  
        See the "Items to Note" section of the Help sheet for suggested estimation approaches. </t>
  </si>
  <si>
    <t>https://oaspub.epa.gov/powpro/ept_pack.charts</t>
  </si>
  <si>
    <t xml:space="preserve">Refer to the Greenhouse Gas Inventory Guidance: Indirect Emissions from Purchased Electricity Guidance for more information. </t>
  </si>
  <si>
    <t>Quality Criteria for Contractual Instruments</t>
  </si>
  <si>
    <t>All contractual instruments used in the market-based method must meet the following criteria:</t>
  </si>
  <si>
    <t xml:space="preserve">  (1)  Convey the direct GHG emission rate attribute associated with the unit of electricity produced.</t>
  </si>
  <si>
    <t xml:space="preserve">  (4)  Have a vintage that matches as closely as possible to the date of the reporting period to which the instruments are 
        applied.  The vintage of the instrument is based on the date of the energy generation that the instrument represents.  </t>
  </si>
  <si>
    <r>
      <t xml:space="preserve">Market-Based
</t>
    </r>
    <r>
      <rPr>
        <i/>
        <sz val="10"/>
        <rFont val="Arial"/>
        <family val="2"/>
      </rPr>
      <t>Use these cells to enter contractual or supplier specific emission factors</t>
    </r>
  </si>
  <si>
    <r>
      <t xml:space="preserve">Location-Based
</t>
    </r>
    <r>
      <rPr>
        <i/>
        <sz val="10"/>
        <rFont val="Arial"/>
        <family val="2"/>
      </rPr>
      <t>Use these cells to enter supplier specific emission factors</t>
    </r>
  </si>
  <si>
    <r>
      <t>CO</t>
    </r>
    <r>
      <rPr>
        <b/>
        <vertAlign val="subscript"/>
        <sz val="10"/>
        <rFont val="Arial"/>
        <family val="2"/>
      </rPr>
      <t>2</t>
    </r>
    <r>
      <rPr>
        <b/>
        <sz val="10"/>
        <rFont val="Arial"/>
        <family val="2"/>
      </rPr>
      <t xml:space="preserve"> Factor 
(kg / mmBtu)</t>
    </r>
  </si>
  <si>
    <r>
      <t>CO</t>
    </r>
    <r>
      <rPr>
        <b/>
        <vertAlign val="subscript"/>
        <sz val="10"/>
        <rFont val="Arial"/>
        <family val="2"/>
      </rPr>
      <t>2</t>
    </r>
    <r>
      <rPr>
        <b/>
        <sz val="10"/>
        <rFont val="Arial"/>
        <family val="2"/>
      </rPr>
      <t xml:space="preserve"> Factor 
(kg / Unit)</t>
    </r>
  </si>
  <si>
    <t>(kg / mmBtu)</t>
  </si>
  <si>
    <t>(g / mmBtu)</t>
  </si>
  <si>
    <r>
      <t>Enter the data into the appropriate orange colored boxes (Table 1) of the Calculator section titled “Steam.”  Once the data are entered into the Calculator, the CO</t>
    </r>
    <r>
      <rPr>
        <vertAlign val="subscript"/>
        <sz val="10"/>
        <rFont val="Arial"/>
        <family val="2"/>
      </rPr>
      <t>2</t>
    </r>
    <r>
      <rPr>
        <sz val="10"/>
        <rFont val="Arial"/>
        <family val="2"/>
      </rPr>
      <t xml:space="preserve"> equivalent emissions are calculated and summarized in the blue colored box.  Enter the market-based emission factors in the yellow cells if applicable.</t>
    </r>
  </si>
  <si>
    <r>
      <t xml:space="preserve">(A)  Enter annual data for each facility or site in ORANGE cells in </t>
    </r>
    <r>
      <rPr>
        <b/>
        <sz val="10"/>
        <rFont val="Arial"/>
        <family val="2"/>
      </rPr>
      <t>Table 1</t>
    </r>
    <r>
      <rPr>
        <sz val="10"/>
        <rFont val="Arial"/>
        <family val="2"/>
      </rPr>
      <t xml:space="preserve">.  </t>
    </r>
  </si>
  <si>
    <t xml:space="preserve">  (B) Select ONE of the three options with which to estimate emissions.  Options range from most preferred method 
         (Option 1) to least preferred method (Option 3).  If option 3, screening method, is used and emissions are determined to be 
         significant when compared to other emission sources, then one of the other methods should be applied to calculate emissions more 
         accurately.</t>
  </si>
  <si>
    <r>
      <t>1.  CO</t>
    </r>
    <r>
      <rPr>
        <vertAlign val="subscript"/>
        <sz val="8"/>
        <rFont val="Arial"/>
        <family val="2"/>
      </rPr>
      <t>2</t>
    </r>
    <r>
      <rPr>
        <sz val="8"/>
        <rFont val="Arial"/>
        <family val="2"/>
      </rPr>
      <t xml:space="preserve"> emissions estimated using emission factors provided in Table 3 of the Center for Corporate Climate Leadership</t>
    </r>
    <r>
      <rPr>
        <i/>
        <sz val="8"/>
        <rFont val="Arial"/>
        <family val="2"/>
      </rPr>
      <t xml:space="preserve"> Greenhouse Gas Inventory Guidance</t>
    </r>
  </si>
  <si>
    <t xml:space="preserve">    Direct Fugitive Emissions from Refrigeration, Air Conditioning, Fire Suppression and Industrial Gases. (Nov 2014).</t>
  </si>
  <si>
    <r>
      <t xml:space="preserve">2..  Leak rates of fire extinguishers from Page A-248, </t>
    </r>
    <r>
      <rPr>
        <i/>
        <sz val="8"/>
        <rFont val="Arial"/>
        <family val="2"/>
      </rPr>
      <t>US EPA - Inventory of U.S. Greenhouse Gas Emissions and Sinks:  1990 - 2014, April 15, 2016.</t>
    </r>
  </si>
  <si>
    <r>
      <t xml:space="preserve">     Center for Corporate Climate Leadership Greenhouse Gas Inventory Guidance - Direct Emissions from Stationary Combustion Sources (January 2016)</t>
    </r>
    <r>
      <rPr>
        <sz val="8"/>
        <rFont val="Arial"/>
        <family val="2"/>
      </rPr>
      <t>.</t>
    </r>
  </si>
  <si>
    <t xml:space="preserve"> - Use map (Figure 1) at bottom of sheet to determine appropriate eGRID subregion.  If subregion cannot be determined  from the map, find the correct subregion by entering the location's zip code into EPA’s Power Profiler:</t>
  </si>
  <si>
    <t>Total Scope 1 &amp; Location-Based Scope 2</t>
  </si>
  <si>
    <t xml:space="preserve">Total Scope 1 &amp; Market-Based Scope 2 </t>
  </si>
  <si>
    <t>Net Scope 1 and 2 Location-Based Emissions</t>
  </si>
  <si>
    <t>Net Scope 1 and 2 Market-Based Emissions</t>
  </si>
  <si>
    <t>Education</t>
  </si>
  <si>
    <t xml:space="preserve">Food sales </t>
  </si>
  <si>
    <t xml:space="preserve">Food service </t>
  </si>
  <si>
    <t xml:space="preserve">Health care </t>
  </si>
  <si>
    <t xml:space="preserve">Inpatient </t>
  </si>
  <si>
    <t xml:space="preserve">Outpatient </t>
  </si>
  <si>
    <t xml:space="preserve">Lodging </t>
  </si>
  <si>
    <t xml:space="preserve">Mercantile </t>
  </si>
  <si>
    <t xml:space="preserve">Retail (other than mall) </t>
  </si>
  <si>
    <t xml:space="preserve">Enclosed and strip malls </t>
  </si>
  <si>
    <t xml:space="preserve">Public assembly </t>
  </si>
  <si>
    <t xml:space="preserve">Public order and safety </t>
  </si>
  <si>
    <t xml:space="preserve">Religious worship </t>
  </si>
  <si>
    <t xml:space="preserve">Service </t>
  </si>
  <si>
    <t xml:space="preserve">Warehouse and storage </t>
  </si>
  <si>
    <t xml:space="preserve">Other </t>
  </si>
  <si>
    <t xml:space="preserve">Vacant </t>
  </si>
  <si>
    <t>insufficient data</t>
  </si>
  <si>
    <t>Principal Building Activity</t>
  </si>
  <si>
    <t>Source: Commercial Buildings Energy Consumption Survey (CBECS) 2012, Released May 2016.  Table C15: Electricity consumption and conditional energy intensity by Census region</t>
  </si>
  <si>
    <t>Source: EIA's Commercial Buildings Energy Consumption Survey (CBECS) 2012, Released May 2016.  Table C25: Natural gas consumption and conditional energy intensity by Census region</t>
  </si>
  <si>
    <t>http://www.eia.gov/consumption/commercial/data/2012/index.cfm?view=consumption#c23-c32</t>
  </si>
  <si>
    <t>1.  Source- EIA's 2012 Commercial Buildings Energy Consumption Survey, Table C15 (Electricity), Table C25 ( Natural Gas), Table C35 (Fuel Oil). 
     http://www.eia.gov/consumption/commercial/data/2012/index.cfm?view=consumption#c23-c32</t>
  </si>
  <si>
    <t>2.  Building Type Definitions Source- http://www.eia.gov/consumption/commercial/building-type-definitions.cfm</t>
  </si>
  <si>
    <t>Buildings used for academic or technical classroom instruction, such as elementary, middle, or high schools, and classroom buildings on college or university campuses. Buildings on education campuses for which the main use is not classroom are included in the category relating to their use. For example, administration buildings are part of "Office," dormitories are "Lodging," and libraries are "Public Assembly."</t>
  </si>
  <si>
    <t>Food Sales</t>
  </si>
  <si>
    <t>Buildings used for retail or wholesale of food.</t>
  </si>
  <si>
    <t>Food Service</t>
  </si>
  <si>
    <t>Buildings used for preparation and sale of food and beverages for consumption.</t>
  </si>
  <si>
    <t>Health Care (Inpatient)</t>
  </si>
  <si>
    <t>Buildings used as diagnostic and treatment facilities for inpatient care.</t>
  </si>
  <si>
    <t>Health Care (Outpatient)</t>
  </si>
  <si>
    <t>Buildings used as diagnostic and treatment facilities for outpatient care. Medical offices are included here if they use any type of diagnostic medical equipment (if they do not, they are categorized as an office building).</t>
  </si>
  <si>
    <t>Lodging</t>
  </si>
  <si>
    <t>Buildings used to offer multiple accommodations for short-term or long-term residents, including skilled nursing and other residential care buildings.</t>
  </si>
  <si>
    <t>Mercantile (Retail Other Than Mall)</t>
  </si>
  <si>
    <t>Buildings used for the sale and display of goods other than food.</t>
  </si>
  <si>
    <t>Mercantile (Enclosed and Strip Malls)</t>
  </si>
  <si>
    <t>Shopping malls comprised of multiple connected establishments.</t>
  </si>
  <si>
    <t>Buildings used for general office space, professional office, or administrative offices. Medical offices are included here if they do not use any type of diagnostic medical equipment (if they do, they are categorized as an outpatient health care building).</t>
  </si>
  <si>
    <t>Public Assembly</t>
  </si>
  <si>
    <t>Buildings in which people gather for social or recreational activities, whether in private or non-private meeting halls.</t>
  </si>
  <si>
    <t>Public Order and Safety</t>
  </si>
  <si>
    <t>Buildings used for the preservation of law and order or public safety.</t>
  </si>
  <si>
    <t>Religious Worship</t>
  </si>
  <si>
    <t>Buildings in which people gather for religious activities, (such as chapels, churches, mosques, synagogues, and temples).</t>
  </si>
  <si>
    <t>No subcategories collected</t>
  </si>
  <si>
    <t>Service</t>
  </si>
  <si>
    <t>Buildings in which some type of service is provided, other than food service or retail sales of goods</t>
  </si>
  <si>
    <t>Buildings used to store goods, manufactured products, merchandise, raw materials, or personal belongings (such as self-storage).</t>
  </si>
  <si>
    <t>Buildings that are industrial or agricultural with some retail space; buildings having several different commercial activities that, together, comprise 50 percent or more of the floorspace, but whose largest single activity is agricultural, industrial/ manufacturing, or residential; and all other miscellaneous buildings that do not fit into any other category.</t>
  </si>
  <si>
    <t>Vacant</t>
  </si>
  <si>
    <t>Buildings in which more floorspace was vacant than was used for any single commercial activity at the time of interview. Therefore, a vacant building may have some occupied floorspace.</t>
  </si>
  <si>
    <t>No subcategories collected, but a question was asked to determine whether the building was completely vacant.</t>
  </si>
  <si>
    <t>Examples</t>
  </si>
  <si>
    <t>elementary or middle school, high school, college or university, preschool or daycare, adult education, career or vocational training, religious education</t>
  </si>
  <si>
    <t>airplane hangar, crematorium, laboratory, telephone switching, agricultural with some retail space, manufacturing or industrial with some retail space, data center or server farm</t>
  </si>
  <si>
    <t>refrigerated warehouse, non-refrigerated warehouse, distribution or shipping center</t>
  </si>
  <si>
    <t>vehicle service or vehicle repair shop, vehicle storage/ maintenance (car barn), repair shop, dry cleaner or laundromat, post office or postal center, car wash, gas station, photo processing shop, beauty parlor or barber shop, tanning salon, copy center or printing shop, kennel</t>
  </si>
  <si>
    <t>police station, fire station, jail, reformatory, or penitentiary, courthouse or probation office</t>
  </si>
  <si>
    <t>social or meeting (e.g. community center, lodge, meeting hall, convention center,senior center), recreation (e.g. gymnasium, health club, bowling alley, ice rink, field house, indoor racquet sports), entertainment or culture (e.g. museum, theater, cinema, sports arena, casino, night club), library, funeral home, student activities center, armory, exhibition hall, broadcasting studio, transportation terminal</t>
  </si>
  <si>
    <t>administrative or professional office, government office, mixed-use office, bank or other financial institution, medical office (see previous column), sales office, contractor's office (e.g. construction, plumbing, HVAC), non-profit or social services, city hall or city center, religious office, call center</t>
  </si>
  <si>
    <t>enclosed mall, strip shopping center</t>
  </si>
  <si>
    <t>retail store, beer, wine, or liquor store, rental center, dealership or showroom for vehicles or boats, studio/gallery</t>
  </si>
  <si>
    <t>motel or inn, hotel, dormitory, fraternity, or sorority, retirement home, nursing home, assisted living, or other residential care, convent or monastery, shelter, orphanage, or children's home, halfway house</t>
  </si>
  <si>
    <t>medical office (see previous column), clinic or other outpatient health care, outpatient rehabilitation, veterinarian</t>
  </si>
  <si>
    <t>hospital, inpatient rehabilitation</t>
  </si>
  <si>
    <t>fast food, restaurant or cafeteria, bar, catering service or reception hall, coffee, bagel, or doughnut shop, ice cream or frozen yogurt shop</t>
  </si>
  <si>
    <t xml:space="preserve">grocery store or food market, gas station with a convenience store, convenience store, </t>
  </si>
  <si>
    <t>See table at bottom of sheet for building type descriptions.</t>
  </si>
  <si>
    <t>Building Types</t>
  </si>
  <si>
    <t>An Example</t>
  </si>
  <si>
    <t>- 100,000 kWh total facility consumption</t>
  </si>
  <si>
    <t>- Emission factors for RECs are zero.</t>
  </si>
  <si>
    <t>- 25,000 kWh purchased with energy attribute certificates such as renewable energy certificates (RECs).</t>
  </si>
  <si>
    <t>Building A</t>
  </si>
  <si>
    <t>Wind Farm RECs</t>
  </si>
  <si>
    <t xml:space="preserve">Local Utility </t>
  </si>
  <si>
    <t>Market-Based Method - HELP SHEET</t>
  </si>
  <si>
    <t>Market-Based Electricity Emission Factors</t>
  </si>
  <si>
    <t>(1)</t>
  </si>
  <si>
    <t>(2)</t>
  </si>
  <si>
    <t>(3)</t>
  </si>
  <si>
    <t>(4)</t>
  </si>
  <si>
    <t>(5)</t>
  </si>
  <si>
    <t>(6)</t>
  </si>
  <si>
    <t>Energy Attribute Certificates</t>
  </si>
  <si>
    <t>Contracts</t>
  </si>
  <si>
    <t>Supplier-Specific Emission Factor</t>
  </si>
  <si>
    <t>Residual Mix Factor</t>
  </si>
  <si>
    <t>Regional Emission Factor</t>
  </si>
  <si>
    <t>National Emission Factor</t>
  </si>
  <si>
    <t xml:space="preserve">This should not be applicable for any companies reporting US based emissions, due to the availability of regional emission factors. </t>
  </si>
  <si>
    <t xml:space="preserve">An organization may have a contract, such as a power purchase agreement (PPA), to purchase electricity from a specified generating facility, which may be located at the organization's facility, at a nearby location with a direct line connection to the organization, or located remotely.  If there are no certificates available, the contract itself carries the emission factor associated with the generation facility, regardless of the energy resource used.  If certificates are used, see Energy Attribute Certificates above.  </t>
  </si>
  <si>
    <t xml:space="preserve">An electricity supplier, such as a regulated utility or a deregulated supplier, may provide information to its customers on the emission factor associated with its electricity product.  To be used in the market-based method, the emission factor must include all the electricity delivered by the supplier, including electricity it generates as well as electricity it purchases from others.  </t>
  </si>
  <si>
    <t>A residual mix emission factor represents the emissions and generation that remain after certificates, contracts, and supplier-specific factors have been claimed and removed from the calculation.  Residual mix emission factors are currently not widely available.  Organizations are encouraged to check for available residual mix factors each year when their GHG inventory is completed, if the options above are not available or relevant.</t>
  </si>
  <si>
    <t xml:space="preserve">The Energy Information Administration conducts a Commercial Building Energy Consumption Survey and provides average energy consumption by building type per square foot.  Use the numbers below to compare against your data or to estimate if no data are available. For example, if you have a 1,000 sq ft office suite in the Northeast multiply by 17.1 to get an estimation of 17,100 kWh electricity for a year.  </t>
  </si>
  <si>
    <t xml:space="preserve">The Energy Information Administration conducts a Commercial Building Energy Consumption Survey and provides average energy consumption by building type per square foot.  Use the numbers below to compare against your data or to estimate for natural gas if no data are available. For example, if you have a 1,000 sq ft office suite in the Northeast multiply by 34.3 to get an estimation of 34,300 scf natural gas for a year.  </t>
  </si>
  <si>
    <t>* Record of renewable energy purchased through 
   contractual instruments</t>
  </si>
  <si>
    <t>Location-Based Scope 2 Emissions</t>
  </si>
  <si>
    <t>Market-Based Scope 2 Emissions</t>
  </si>
  <si>
    <t>A typical office-based organization will likely have the following (scope 1 and scope 2) emissions sources:</t>
  </si>
  <si>
    <r>
      <rPr>
        <b/>
        <sz val="10"/>
        <rFont val="Arial"/>
        <family val="2"/>
      </rPr>
      <t>Location-based:</t>
    </r>
    <r>
      <rPr>
        <sz val="10"/>
        <rFont val="Arial"/>
        <family val="2"/>
      </rPr>
      <t xml:space="preserve"> Enter the data into the appropriate orange colored boxes (Table 1) of the Calculator section titled "Electricity.”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location based method. </t>
    </r>
  </si>
  <si>
    <t>Fuel type used to generate steam</t>
  </si>
  <si>
    <r>
      <t>Quantity of offsets purchased in metric tons CO</t>
    </r>
    <r>
      <rPr>
        <vertAlign val="subscript"/>
        <sz val="10"/>
        <rFont val="Arial"/>
        <family val="2"/>
      </rPr>
      <t>2</t>
    </r>
    <r>
      <rPr>
        <sz val="10"/>
        <rFont val="Arial"/>
        <family val="2"/>
      </rPr>
      <t xml:space="preserve"> equivalent for each offset project.</t>
    </r>
  </si>
  <si>
    <r>
      <t>CF</t>
    </r>
    <r>
      <rPr>
        <vertAlign val="subscript"/>
        <sz val="10"/>
        <rFont val="Arial"/>
        <family val="2"/>
      </rPr>
      <t>4</t>
    </r>
  </si>
  <si>
    <t>https://www.epa.gov/climateleadership/center-corporate-climate-leadership-small-business-and-low-emitters-guide</t>
  </si>
  <si>
    <t>Help - Market-Based Method</t>
  </si>
  <si>
    <t xml:space="preserve">  (A) Navigate to the data entry sheets using the drop down menu in the dark grey cell below and then clicking on the "Go To Data Entry Sheet" 
         button. On the data entry sheets enter data in ORANGE cells only.  </t>
  </si>
  <si>
    <r>
      <t>Emission sources of all seven major GHGs are accounted for in the inventory and in this Calculator: carbon dioxide (CO</t>
    </r>
    <r>
      <rPr>
        <vertAlign val="subscript"/>
        <sz val="10"/>
        <rFont val="Arial"/>
        <family val="2"/>
      </rPr>
      <t>2</t>
    </r>
    <r>
      <rPr>
        <sz val="10"/>
        <rFont val="Arial"/>
        <family val="2"/>
      </rPr>
      <t>), methane (CH</t>
    </r>
    <r>
      <rPr>
        <vertAlign val="subscript"/>
        <sz val="10"/>
        <rFont val="Arial"/>
        <family val="2"/>
      </rPr>
      <t>4</t>
    </r>
    <r>
      <rPr>
        <sz val="10"/>
        <rFont val="Arial"/>
        <family val="2"/>
      </rPr>
      <t>), nitrous oxide (N</t>
    </r>
    <r>
      <rPr>
        <vertAlign val="subscript"/>
        <sz val="10"/>
        <rFont val="Arial"/>
        <family val="2"/>
      </rPr>
      <t>2</t>
    </r>
    <r>
      <rPr>
        <sz val="10"/>
        <rFont val="Arial"/>
        <family val="2"/>
      </rPr>
      <t>O), hydroﬂuorocarbons (HFCs), perﬂuorocarbons (PFCs), sulfur hexaﬂuoride (SF</t>
    </r>
    <r>
      <rPr>
        <vertAlign val="subscript"/>
        <sz val="10"/>
        <rFont val="Arial"/>
        <family val="2"/>
      </rPr>
      <t>6</t>
    </r>
    <r>
      <rPr>
        <sz val="10"/>
        <rFont val="Arial"/>
        <family val="2"/>
      </rPr>
      <t>), and nitrogen trifluoride (NF</t>
    </r>
    <r>
      <rPr>
        <vertAlign val="subscript"/>
        <sz val="10"/>
        <rFont val="Arial"/>
        <family val="2"/>
      </rPr>
      <t>3</t>
    </r>
    <r>
      <rPr>
        <sz val="10"/>
        <rFont val="Arial"/>
        <family val="2"/>
      </rPr>
      <t xml:space="preserve">). The Calculator allows the user to estimate GHG emissions from scope 1 (direct), scope 2 (indirect), and some scope 3 (other indirect) sources.   </t>
    </r>
  </si>
  <si>
    <t xml:space="preserve">         (Option 1) to least preferred method (Option 3).  If option 3, screening method, is used and emissions are determined</t>
  </si>
  <si>
    <t xml:space="preserve">         to be significant when compared to other emission sources, then one of the other methods should be applied to calculate</t>
  </si>
  <si>
    <t xml:space="preserve">         emissions more accurately.</t>
  </si>
  <si>
    <t>https://www.epa.gov/ghgreporting</t>
  </si>
  <si>
    <r>
      <t xml:space="preserve">The Calculator uses U.S.-specific cross-sector emission factors from the </t>
    </r>
    <r>
      <rPr>
        <i/>
        <sz val="10"/>
        <rFont val="Arial"/>
        <family val="2"/>
      </rPr>
      <t>Emission Factors Hub</t>
    </r>
    <r>
      <rPr>
        <sz val="10"/>
        <rFont val="Arial"/>
        <family val="2"/>
      </rPr>
      <t>. Many industrial sectors also have process-related emissions sources that are specific to their sector. EPA’s Greenhouse Gas Reporting Program provides guidance and tools that can aid in the calculation and reporting of these emissions:</t>
    </r>
  </si>
  <si>
    <t xml:space="preserve">The GHG Protocol also provides guidance on calculating emissions from industrial processes.  </t>
  </si>
  <si>
    <r>
      <t xml:space="preserve">Market-Based
</t>
    </r>
    <r>
      <rPr>
        <i/>
        <sz val="10"/>
        <rFont val="Arial"/>
        <family val="2"/>
      </rPr>
      <t>Use these cells to enter applicable market-based emission factors</t>
    </r>
  </si>
  <si>
    <t>Tips: Enter electricity usage by location and then look up the eGRID subregion for each location.</t>
  </si>
  <si>
    <t>EPA encourages organizations to use renewable energy as a way to reduce the environmental impacts associated with the electricity they purchase. Organizations can reduce their market-based scope 2 emissions by purchasing renewable energy, or “green power.” They can do this by choosing a differentiated electricity product from their utility or electricity supplier, by contracting directly with a renewable energy generator (if the regulatory rules allow), or by purchasing unbundled renewable energy certificates (RECs). In any case, the RECs must be acquired and retired.</t>
  </si>
  <si>
    <t xml:space="preserve">The Indirect Emissions from Purchased Electricity Guidance defines EPA best-practice quality recommendations that go beyond these minimum requirements. </t>
  </si>
  <si>
    <t xml:space="preserve">If an energy attribute certificate carries with it an emission factor, that factor can be used to quantify emissions in the market-based method.  Examples are renewable energy certificates (RECs) or Guarantees of Origin (GOs).  The emission factor is based on the specific source that the certificate represents, regardless of the energy resource used.  Typically these certificates represent renewable energy and may have an emission factor of zero, but they may in some cases have a non-zero emission factor (e.g., if there is a fossil-fuel or biomass generation component). </t>
  </si>
  <si>
    <t>EPA, ENERGY STAR, https://www.energystar.gov/buildings/tools-and-resources/portfolio-manager-technical-reference-thermal-conversion-factors</t>
  </si>
  <si>
    <t>Purchased Offsets - HELP SHEET</t>
  </si>
  <si>
    <t>Purchased Offsets</t>
  </si>
  <si>
    <t>The questions below refer to scope 3 emissions sources and offsets.  If you answer "yes" you may choose whether or not to include these emissions sources in your inventory. Use the corresponding sheet to enter data.</t>
  </si>
  <si>
    <t>If residual mix factors are not available, organizations can use a regional grid average emission factor as the default.  This calculator will use eGRID subregion emission factors in this case.</t>
  </si>
  <si>
    <t xml:space="preserve">  (3)  Be tracked and redeemed, retired, or canceled by or on behalf of the reporting entity.  This can be done through a tracking 
       system, an audit of contracts, third-party certification, or other means. </t>
  </si>
  <si>
    <t xml:space="preserve">  (2)  Be the only instruments that carry the GHG emission rate attribute claim associated with that quantity of electricity generation.
        See the "Items to Note" section of the Help sheet for suggested estimation approaches. </t>
  </si>
  <si>
    <t xml:space="preserve">  (5)  Be sourced from the same market in which the reporting entity’s electricity-consuming operations are located and 
         to which the instrument is applied. A market is defined as a geographical area which has a common system for 
         trading and retiring contractual instruments. For this purpose the U.S. constitutes a single market, despite regional 
        grid boundaries.</t>
  </si>
  <si>
    <t xml:space="preserve">The market-based method considers contractual arrangements under which the organization procures electricity from specific sources, such as fossil, renewable, or other generation facilities. Market-based emission factors reflect these arrangements. The following are the types of market-based emission factors available, listed in order of preference based on the precision of the factors.  If any of the first four types of emission factors are applicable, enter the factors in the yellow cells marked as "&lt;enter factor&gt;".  If not, leave the yellow cells as is, and eGRID subregion factors will be used for market-based emissions. </t>
  </si>
  <si>
    <t xml:space="preserve">In a situation where an organization has procured electricity from a specific source that is relevant to report for the market-based method, but the source supplies less than 100% of the kWh consumed by the facility, it is important to enter the data correctly.  Consider the following scenario: </t>
  </si>
  <si>
    <r>
      <t xml:space="preserve">The Indirect Emissions from Purchased Electricity Guidance document provides guidance for quantifying two scope 2 emissions totals, using a </t>
    </r>
    <r>
      <rPr>
        <b/>
        <sz val="10"/>
        <rFont val="Arial"/>
        <family val="2"/>
      </rPr>
      <t xml:space="preserve">location-based method </t>
    </r>
    <r>
      <rPr>
        <sz val="10"/>
        <rFont val="Arial"/>
        <family val="2"/>
      </rPr>
      <t>and a</t>
    </r>
    <r>
      <rPr>
        <b/>
        <sz val="10"/>
        <rFont val="Arial"/>
        <family val="2"/>
      </rPr>
      <t xml:space="preserve"> market-based method</t>
    </r>
    <r>
      <rPr>
        <sz val="10"/>
        <rFont val="Arial"/>
        <family val="2"/>
      </rPr>
      <t xml:space="preserve">.  The organization should quantify and report both totals in its GHG inventory.  The location-based method considers average emission factors for the electricity grids that provide electricity.  The market-based method considers contractual arrangements under which the organization procures electricity from specific sources, such as renewable energy.  </t>
    </r>
  </si>
  <si>
    <r>
      <t>Market-Based Emission Factors</t>
    </r>
    <r>
      <rPr>
        <sz val="10"/>
        <rFont val="Arial"/>
        <family val="2"/>
      </rPr>
      <t xml:space="preserve"> (entered on Electricity and or Steam tabs)</t>
    </r>
  </si>
  <si>
    <t xml:space="preserve">Do you purchase renewable energy certificates (RECs) or green power products? Do you purchase electricity through a power purchase agreement (PPA)? Do you have supplier-specific emission factors? </t>
  </si>
  <si>
    <t>The table below shows how to enter the data for this example site. There are two rows entered for the facility in order to allocate the market-based emissions to the appropriate kWh.</t>
  </si>
  <si>
    <t>The total Electricity Purchased (kWh) of the two rows adds up to facility's total consumption.  Be careful not to double count kWh.</t>
  </si>
  <si>
    <t xml:space="preserve">- No other market-based emission factors are available. </t>
  </si>
  <si>
    <t>The REC emission factors are entered in the first row.  In the second row, there is no need to enter market-based emission factors, because none are available.</t>
  </si>
  <si>
    <r>
      <t xml:space="preserve">  (A)  Enter total annual electricity purchased in kWh and each eGRID subregion for each facility or site in ORANGE cells of </t>
    </r>
    <r>
      <rPr>
        <b/>
        <sz val="10"/>
        <rFont val="Arial"/>
        <family val="2"/>
      </rPr>
      <t>Table 1</t>
    </r>
    <r>
      <rPr>
        <sz val="10"/>
        <rFont val="Arial"/>
        <family val="2"/>
      </rPr>
      <t xml:space="preserve">.  </t>
    </r>
  </si>
  <si>
    <t>- Select "Fuel Type" from drop box to indicate the fuel used to generate the steam.</t>
  </si>
  <si>
    <t xml:space="preserve"> -- If more than one fuel type is used, enter multiple rows, apportioning the steam using the same percentages as the fuel mix.</t>
  </si>
  <si>
    <t>- Enter amount of steam purchased in mmBtu. Heat Content conversions can be found on the "Heat Content" sheet.</t>
  </si>
  <si>
    <r>
      <t xml:space="preserve">Market-Based
</t>
    </r>
    <r>
      <rPr>
        <i/>
        <sz val="10"/>
        <rFont val="Arial"/>
        <family val="2"/>
      </rPr>
      <t xml:space="preserve">Use these cells to enter market-based emission factors if different than the supplier-specific factors. </t>
    </r>
  </si>
  <si>
    <t xml:space="preserve">   (B) If steam is purchased at a facility but steam consumption data are not available, an estimate should be made for completeness.  
         See the "Items to Note" section of the Help sheet for suggested estimation approaches. </t>
  </si>
  <si>
    <t>GHG Reductions</t>
  </si>
  <si>
    <t xml:space="preserve">                  - Enter boiler efficiency.  If boiler efficiency is not known, use 80% as default value. Do not enter market-based emission factors. </t>
  </si>
  <si>
    <t xml:space="preserve">Determine the amount of steam purchased, the types of fuel that the steam supplier uses to generate the steam, and either the emission factors provided by the steam supplier or the boiler efficiency.  If values for boiler efficiency are unavailable, a default of 80% is provided in the Calculator.  </t>
  </si>
  <si>
    <t>Boiler efficiency or supplier-specific emission factors</t>
  </si>
  <si>
    <t xml:space="preserve">         If you purchase renewable energy that is less than 100% of your site's electricity, see the 
         example in the market-based method Help sheet. </t>
  </si>
  <si>
    <r>
      <t xml:space="preserve">  (D) See the market-based emission factor hierarchy on the market-based method Help sheet. If any of the first four types of
       emission factors are applicable, enter the factors in the yellow cells marked as "&lt;enter factor&gt;".  If not, leave the 
       yellow cells as is, and eGRID subregion factors will be used for market-based emissions. 
   Example entry is shown in first row </t>
    </r>
    <r>
      <rPr>
        <sz val="10"/>
        <color indexed="21"/>
        <rFont val="Arial"/>
        <family val="2"/>
      </rPr>
      <t>(</t>
    </r>
    <r>
      <rPr>
        <i/>
        <sz val="10"/>
        <color indexed="21"/>
        <rFont val="Arial"/>
        <family val="2"/>
      </rPr>
      <t>GREEN Italics</t>
    </r>
    <r>
      <rPr>
        <sz val="10"/>
        <rFont val="Arial"/>
        <family val="2"/>
      </rPr>
      <t>) for a facility that purchases RECs for 100% of its consumption, and   
       therefore has a market-based emission factor of 0.</t>
    </r>
  </si>
  <si>
    <t xml:space="preserve">- Typically supplier-specific emission factors for steam will apply to both location-based and market-based emissions, and no 
  market-based emission factors need to be entered.  However, if there are different applicable market-based emission factors, 
  enter the factors in the yellow cells marked as "&lt;enter factor&gt;". If needed, see the market-based method Help Sheet for guidance. </t>
  </si>
  <si>
    <r>
      <rPr>
        <b/>
        <sz val="10"/>
        <rFont val="Arial"/>
        <family val="2"/>
      </rPr>
      <t>Market-based:</t>
    </r>
    <r>
      <rPr>
        <sz val="10"/>
        <rFont val="Arial"/>
        <family val="2"/>
      </rPr>
      <t xml:space="preserve"> Enter applicable market-based emission factors (lb/MWh) for the purchased electricity in the yellow cells (Table 1) of the Calculator section titled "Electricity.”  See the market-based method Help sheet for additional guidance. Once the data are entered into the Calculator, the CO</t>
    </r>
    <r>
      <rPr>
        <vertAlign val="subscript"/>
        <sz val="10"/>
        <rFont val="Arial"/>
        <family val="2"/>
      </rPr>
      <t>2</t>
    </r>
    <r>
      <rPr>
        <sz val="10"/>
        <rFont val="Arial"/>
        <family val="2"/>
      </rPr>
      <t xml:space="preserve"> equivalent emissions are calculated and summarized in the blue colored box for the market-based method. </t>
    </r>
  </si>
  <si>
    <t>https://www.epa.gov/climateleadership/center-corporate-climate-leadership-ghg-emission-factors-hub</t>
  </si>
  <si>
    <t>GHGs are emitted when fossil fuels are combusted to generate electricity.  Companies account for their responsibility for these emissions by reporting them as scope 2 indirect emissions. This Calculator quantifies emissions from both the location-based method and the market-based method, and both totals should be reported.  The location-based method considers average emission factors for the electricity grids that provide electricity.  The market-based method considers contractual arrangements under which the organization procures power from specific sources, such as renewable energy.  Market-based emission factors reflect these arrangements. Examples of market-based emission factors are: renewable energy certificates (RECs), power purchase agreements (PPAs), and supplier-specific factors.  For detailed information on the location-based method and the market-based method review EPA's Indirect Emissions from Purchased Electricity Guidance (link at the bottom of this sheet).</t>
  </si>
  <si>
    <t>Do any vehicles fall within your organizational boundary?  This can include cars, trucks, propane forklifts, aircraft, boats.  Only vehicles owned or leased by your organization should be included here.</t>
  </si>
  <si>
    <t>Do your employees travel for business using transportation other than owned or leased vehicles (e.g., commercial airline flights, rental cars, trains)?</t>
  </si>
  <si>
    <t xml:space="preserve">    (A) Enter organization information into the orange cells. Other cells on this sheet will be automatically calculated from the data entered in the sheets in this workbook. Blue cells indicate required emission sources if applicable. Green cells indicate scope 3 emission sources and offsets, which organizations may optionally include in their inventory.</t>
  </si>
  <si>
    <t>Total organization Emissions</t>
  </si>
  <si>
    <t>Total Organization-Wide Stationary Source Combustion by Fuel Type</t>
  </si>
  <si>
    <r>
      <t xml:space="preserve">Option 1.   </t>
    </r>
    <r>
      <rPr>
        <sz val="10"/>
        <rFont val="Arial"/>
        <family val="2"/>
      </rPr>
      <t xml:space="preserve"> Material Balance Method:  Enter organization-wide total gases stored and transferred (by gas) in Table 1.</t>
    </r>
  </si>
  <si>
    <r>
      <t xml:space="preserve">Option 1.    </t>
    </r>
    <r>
      <rPr>
        <sz val="10"/>
        <rFont val="Arial"/>
        <family val="2"/>
      </rPr>
      <t>Material Balance Method:  Enter organization-wide fire suppression gases stored and transferred (by gas) in Table 1.</t>
    </r>
  </si>
  <si>
    <t xml:space="preserve">                  - Charge/Recharge = gas added to units by organization or a contractor (do not include pre-charge by manufacturer).</t>
  </si>
  <si>
    <r>
      <t xml:space="preserve">Option 2.    </t>
    </r>
    <r>
      <rPr>
        <sz val="10"/>
        <rFont val="Arial"/>
        <family val="2"/>
      </rPr>
      <t xml:space="preserve"> Material Balance Method (Simplified):  Enter organization-wide total gases in units (by gas) in Table 2.</t>
    </r>
  </si>
  <si>
    <t>Option 2.     Material Balance Method (Simplified):  Enter organization-wide fire suppression gas in units (by gas) in Table 2.</t>
  </si>
  <si>
    <t>(C) For road shipments, if your organization's product is the only product transported in the vehicle (i.e. full truckload shipment) then enter the vehicle type and miles for each leg of transport in Table 1.  Emissions are calculated using vehicle-miles.</t>
  </si>
  <si>
    <t xml:space="preserve">(D) For road shipments, if your organization's product makes up only part of the truck load (i.e. less-than-load or LTL shipment), then enter the vehicle type and ton-miles (product weight x distance) for each leg of transport in Table 2.  Emissions are calculated using  
     ton-miles.  See Help sheet for details on calculating ton-miles. </t>
  </si>
  <si>
    <t xml:space="preserve">This Calculator provides the calculations to quantify your organization's GHG emissions based on annual totals for activity data, which are entered in the ORANGE data entry cells in this workbook.  It is good practice to use a spreadsheet or database to track more detailed activity data, such as monthly energy consumption, and aggregate that detailed data into annual totals for entry into the Calculator.  This approach provides an "audit trail" that retraces the steps completed to arrive at the annual usage numbers you enter into the Calculator.   ENERGY STAR's Portfolio Manager is one database option if your business is already using this tool.  (More information on Portfolio Manager is available in the Guide to GHG Management). The bullets below suggest the type of data you may want to store in the data management spreadsheet or database.   </t>
  </si>
  <si>
    <t xml:space="preserve">To account for these sources, collect information about the type of fuel used and the quantity of fuel combusted at each facility.  Sources of data can vary, but the data are often provided by the utility organization that supplies the fuel to the organization.  A monthly natural gas bill, for example, can be used to provide information regarding how much natural gas was purchased for the previous billing cycle. </t>
  </si>
  <si>
    <t>If you are one of many tenants in a facility and you do not have the actual amount of fuel used in your space, you may estimate your fuel usage by multiplying the fuel usage of the entire facility by the percentage of the floor area that your organization occupies.</t>
  </si>
  <si>
    <t>If your organization owns a private jet or plane it should be included here.  Depending on the fuel it uses, pick the appropriate type from the drop down menu (i.e., Aviation Gasoline Aircraft, Jet Fuel Aircraft).</t>
  </si>
  <si>
    <t xml:space="preserve">Mobile sources, like owned or leased cars and heavy duty vehicles generate emissions by burning fuel.  The fuel usage for any vehicle that is under the organization's operational control should be reported here as scope 1 emissions. </t>
  </si>
  <si>
    <t>If you are one of many tenants in a facility and you cannot quantify the refrigerant emissions specific to your space, you may estimate them based on the percentage of the floor area that your organization occupies.</t>
  </si>
  <si>
    <t>If your organization uses a refrigerant that is not listed, the user may need to determine the constituent blend.  This website lists common refrigerant compositions:</t>
  </si>
  <si>
    <t>If you are one of many tenants in a facility and you do not have the actual amount of electricity used in your space, you may estimate your usage by multiplying the electricity usage of the entire facility by the percentage of the floor area that your organization occupies.</t>
  </si>
  <si>
    <t xml:space="preserve">Similar to electricity production, GHGs are emitted when fossil fuels are combusted to generate heat or steam.  If the organization purchases heat or steam, the emissions are accounted for as scope 2 indirect emissions. Also similar to electricity, both the location-based method and the market-based method should be calculated and reported as done in this Calculator. Typically supplier-specific emission factors for steam will apply to both location-based and market-based emissions, and no market-based emission factors need to be entered.  If needed, see the market-based method Help Sheet for more information.  </t>
  </si>
  <si>
    <t>If you are one of many tenants in a facility and you do not have the actual amount of steam used in your space, you may estimate your usage by multiplying the steam usage of the entire facility by the percentage of the floor area that your organization occupies.</t>
  </si>
  <si>
    <t xml:space="preserve">Scope 3 employee business travel emissions differ from the scope 1 mobile source emission reporting in that they account for employee business travel in vehicles not owned or leased by the organization, such as taxis, trains, commercial airplanes, and personal vehicles used for sales. </t>
  </si>
  <si>
    <t xml:space="preserve">If employees carpool, only their portion of the mileage should be included in the GHG inventory.  For example, if one of your employees drives 10 miles alone to meet two other people (not employees) to carpool and then drives 30 miles to work then the organization should include 20 miles (10 miles + 30 (1/3)) in the corporate inventory.  </t>
  </si>
  <si>
    <t xml:space="preserve">Scope 3 emissions from product transport include product and material shipments by vehicles not owned or leased by the organization.  For example, the organization could hire another company to transport product from the manufacturing location to distribution centers or final markets. (Note:  if an organization owns or leases the trucks or other transport vehicles, these would be part of its scope 1 mobile source emissions). Another example of product transport is paying a courier to transport documents from one office to another.  </t>
  </si>
  <si>
    <t>Collect information about shipment methods (on-road vehicle, waterborne craft, freight rail, or aircraft).  For road shipments the user may enter data based on vehicle mileage or ton-miles of product transported.  If the vehicle mileage option is chosen, then the organization should select the type of vehicle and enter the total mileage for that vehicle type.  The ton-miles option is only applicable for heavy-duty trucks and the organization need only enter the total ton-miles traveled.  For product transport via freight rail, waterborne, or air transport, the organization should enter the total ton-miles data.</t>
  </si>
  <si>
    <t xml:space="preserve">  (A)  Enter annual data in ORANGE cells as appropriate.  Data should be entered as an organization-wide value (all operations 
         combined prior to entry into this table).</t>
  </si>
  <si>
    <t>Offsets are project-based emission reductions and/or removals that occur outside the organizational boundary of the reporting organization.  Offsets can be purchased by an organization to offset emissions from scope 1, scope 2, and scope 3 sources.</t>
  </si>
  <si>
    <r>
      <t>Total Organization-Wide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Emissions from Stationary Source Fuel Combustion</t>
    </r>
  </si>
  <si>
    <t xml:space="preserve">                  - Enter amount of refrigerant added to new units by the organization (not pre-charged amount from manufacturer).</t>
  </si>
  <si>
    <t>Liquid</t>
  </si>
  <si>
    <t>Solid</t>
  </si>
  <si>
    <t>SCF</t>
  </si>
  <si>
    <t>Therm</t>
  </si>
  <si>
    <t>MMBtu</t>
  </si>
  <si>
    <t>Gallons</t>
  </si>
  <si>
    <t>Short Ton</t>
  </si>
  <si>
    <t>- Select "Fuel Combusted" from drop down box.</t>
  </si>
  <si>
    <t xml:space="preserve">- Enter "Quantity Combusted" and choose the appropriate units from the drop down box in the unit column.  If it's necessary to convert units, common heat contents can be found on the "Heat Content" sheet and unit conversions on the "Unit Conversion" sheet. </t>
  </si>
  <si>
    <t>EPA, Emission Factors Hub March 2018.  Based on Federal Register EPA; 40 CFR Part 98; e-CFR, June 13, 2017 (see link). Table C-1, Table C-2, Table AA-1.  https://www.ecfr.gov/cgi-bin/text-idx?SID=ae265d7d6f98ec86fcd8640b9793a3f6&amp;mc=true&amp;node=pt40.23.98&amp;rgn=div5#ap40.23.98_19.1</t>
  </si>
  <si>
    <t>Federal Register EPA; 40 CFR Part 98; e-CFR, June 13, 2017 (see link below). Table C-1, Table C-2, Table AA-1.  
'https://www.ecfr.gov/cgi-bin/text-idx?SID=ae265d7d6f98ec86fcd8640b9793a3f6&amp;mc=true&amp;node=pt40.23.98&amp;rgn=div5#ap40.23.98_19.1</t>
  </si>
  <si>
    <r>
      <t>LNG:  The factor was developed based on the CO</t>
    </r>
    <r>
      <rPr>
        <vertAlign val="subscript"/>
        <sz val="9"/>
        <rFont val="Arial"/>
        <family val="2"/>
      </rPr>
      <t>2</t>
    </r>
    <r>
      <rPr>
        <sz val="9"/>
        <rFont val="Arial"/>
        <family val="2"/>
      </rPr>
      <t xml:space="preserve"> factor for Natural Gas factor and LNG fuel density from GREET1_2017.xlsx Model, Argonne National Laboratory.  This represents a methodology change from previous versions. </t>
    </r>
  </si>
  <si>
    <t>Federal Register EPA; 40 CFR Part 98; e-CFR, June 13, 2017 (see link below). Table C-1, Table C-2, Table AA-1.  
https://www.ecfr.gov/cgi-bin/text-idx?SID=ae265d7d6f98ec86fcd8640b9793a3f6&amp;mc=true&amp;node=pt40.23.98&amp;rgn=div5#ap40.23.98_19.1</t>
  </si>
  <si>
    <r>
      <t>Assume these CH</t>
    </r>
    <r>
      <rPr>
        <vertAlign val="subscript"/>
        <sz val="10"/>
        <rFont val="Arial"/>
        <family val="2"/>
      </rPr>
      <t>4</t>
    </r>
    <r>
      <rPr>
        <sz val="10"/>
        <rFont val="Arial"/>
        <family val="2"/>
      </rPr>
      <t xml:space="preserve"> and N</t>
    </r>
    <r>
      <rPr>
        <vertAlign val="subscript"/>
        <sz val="10"/>
        <rFont val="Arial"/>
        <family val="2"/>
      </rPr>
      <t>2</t>
    </r>
    <r>
      <rPr>
        <sz val="10"/>
        <rFont val="Arial"/>
        <family val="2"/>
      </rPr>
      <t>O factors for ethanol light-duty vehicles</t>
    </r>
  </si>
  <si>
    <r>
      <t>100-year GWPs from IPCC Fourth Assessment Report (AR4), 2007.  IPCC AR4 was published in 2007 and is among the most current and comprehensive peer-reviewed assessments of climate change. AR4 provides revised GWPs of several GHGs relative to the values provided in previous assessment reports, following advances in scientific knowledge on the radiative efficiencies and atmospheric lifetimes of these GHGs and of CO</t>
    </r>
    <r>
      <rPr>
        <vertAlign val="subscript"/>
        <sz val="9"/>
        <rFont val="Arial"/>
        <family val="2"/>
      </rPr>
      <t>2</t>
    </r>
    <r>
      <rPr>
        <sz val="9"/>
        <rFont val="Arial"/>
        <family val="2"/>
      </rPr>
      <t>. Because the GWPs provided in AR4 reflect an improved scientific understanding of the radiative effects of these gases in the atmosphere, the values provided are more appropriate for supporting the overall goal of organizational GHG reporting than the Second Assessment Report (SAR) GWP values previously used in the Emission Factors Hub. 
While EPA recognizes that Fifth Assessment Report (AR5) GWPs have been published, in an effort to ensure consistency and comparability of GHG data between EPA’s voluntary and non-voluntary GHG reporting programs (e.g. GHG Reporting Program and National Inventory), EPA recommends the use of AR4 GWPs. The United States and other developed countries to the UNFCCC have agreed to submit annual inventories in 2015 and future years to the UNFCCC using GWP values from AR4, which will replace the current use of SAR GWP values.  Utilizing AR4 GWPs improves EPA’s ability to analyze corporate, national, and sub-national GHG data consistently, enhances communication of GHG information between programs, and gives outside stakeholders a consistent, predictable set of GWPs to avoid confusion and additional burden.</t>
    </r>
  </si>
  <si>
    <t xml:space="preserve">47.5% HFC-227ea , 52.5% HFC-134a ,  </t>
  </si>
  <si>
    <t>100-year GWPs from IPCC Fourth Assessment Report (AR4), 2007.  See the source note to Table 13 for further explanation. GWPs of blended refrigerants are based on their HFC and PFC constituents, which are based on data from http://www.epa.gov/ozone/snap/refrigerants/refblend.html.</t>
  </si>
  <si>
    <t>Figure 1.  EPA eGRID2016, February 2018.</t>
  </si>
  <si>
    <t>Business Travel and Employee Commuting Emission Factors</t>
  </si>
  <si>
    <t>https://www.epa.gov/climateleadership/center-corporate-climate-leadership-annual-ghg-inventory-summary-and-goal-tracking</t>
  </si>
  <si>
    <t>Version 6</t>
  </si>
  <si>
    <t>All emission factors sourced from EPA's Emission Factors Hub, March 2020.</t>
  </si>
  <si>
    <t>1984-93</t>
  </si>
  <si>
    <t>1987-93</t>
  </si>
  <si>
    <t>1985-86</t>
  </si>
  <si>
    <t>EPA (2020) Inventory of U.S. Greenhouse Gas Emissions and Sinks: 1990-2018. All values are calculated from Tables A-107 through A-111.</t>
  </si>
  <si>
    <t>EPA (2020) Inventory of U.S. Greenhouse Gas Emissions and Sinks: 1990-2018. All values are calculated from Tables A-110 through A-113.</t>
  </si>
  <si>
    <t>Diesel</t>
  </si>
  <si>
    <t>2007-2018</t>
  </si>
  <si>
    <t>Light-Duty Trucks</t>
  </si>
  <si>
    <t>Medium- and Heavy-Duty Vehicles</t>
  </si>
  <si>
    <t>1960-2006</t>
  </si>
  <si>
    <t>Light-Duty Cars</t>
  </si>
  <si>
    <t>Methanol</t>
  </si>
  <si>
    <t>CNG</t>
  </si>
  <si>
    <t>LPG</t>
  </si>
  <si>
    <t>Biodiesel</t>
  </si>
  <si>
    <t>LNG</t>
  </si>
  <si>
    <t>Medium-Duty Trucks</t>
  </si>
  <si>
    <t>Heavy-Duty Trucks</t>
  </si>
  <si>
    <t>Buses</t>
  </si>
  <si>
    <t>1996-2006</t>
  </si>
  <si>
    <t>Ships and Boats</t>
  </si>
  <si>
    <t>Locomotives</t>
  </si>
  <si>
    <t>Jet Fuel</t>
  </si>
  <si>
    <t>0</t>
  </si>
  <si>
    <t>Gasoline</t>
  </si>
  <si>
    <t>EPA (2020) Inventory of U.S. Greenhouse Gas Emissions and Sinks: 1990-2018. All values are calculated from Tables A-114 through A-115.</t>
  </si>
  <si>
    <r>
      <t xml:space="preserve"> CO</t>
    </r>
    <r>
      <rPr>
        <b/>
        <vertAlign val="subscript"/>
        <sz val="10"/>
        <rFont val="Arial"/>
        <family val="2"/>
      </rPr>
      <t>2</t>
    </r>
    <r>
      <rPr>
        <b/>
        <sz val="10"/>
        <rFont val="Arial"/>
        <family val="2"/>
      </rPr>
      <t>, CH</t>
    </r>
    <r>
      <rPr>
        <b/>
        <vertAlign val="subscript"/>
        <sz val="10"/>
        <rFont val="Arial"/>
        <family val="2"/>
      </rPr>
      <t>4</t>
    </r>
    <r>
      <rPr>
        <b/>
        <sz val="10"/>
        <rFont val="Arial"/>
        <family val="2"/>
      </rPr>
      <t xml:space="preserve"> and N</t>
    </r>
    <r>
      <rPr>
        <b/>
        <vertAlign val="subscript"/>
        <sz val="10"/>
        <rFont val="Arial"/>
        <family val="2"/>
      </rPr>
      <t>2</t>
    </r>
    <r>
      <rPr>
        <b/>
        <sz val="10"/>
        <rFont val="Arial"/>
        <family val="2"/>
      </rPr>
      <t>O System Average Emission Factors by Subregion eGRID2018, March 2020.</t>
    </r>
  </si>
  <si>
    <r>
      <t xml:space="preserve">Passenger Car </t>
    </r>
    <r>
      <rPr>
        <vertAlign val="superscript"/>
        <sz val="10"/>
        <rFont val="Arial"/>
        <family val="2"/>
      </rPr>
      <t>A</t>
    </r>
  </si>
  <si>
    <r>
      <t xml:space="preserve">Light-Duty Truck </t>
    </r>
    <r>
      <rPr>
        <vertAlign val="superscript"/>
        <sz val="10"/>
        <rFont val="Arial"/>
        <family val="2"/>
      </rPr>
      <t>B</t>
    </r>
  </si>
  <si>
    <r>
      <t>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highway vehicles are from Table 2-13 of the EPA (2020) Inventory of U.S. Greenhouse Gas Emissions and Sinks: 1990–2018.  
Vehicle-miles and passenger-miles data for highway vehicles are from Table VM-1 of the Federal Highway Administration Highway Statistics 2018.
Fuel consumption data and passenger-miles data for rail are from Tables A.14 to A.16 and C.9 to C.11 of the Transportation Energy Data Book: Edition 38. Fuel consumption was converted to emissions by using fuel and electricity emission factors presented in the tables above.
Intercity Rail factors from personal communication with Amtrak (Laura Fotiou), March 2020 
Air Travel factors from 2019 Guidelines to Defra / DECC's GHG Conversion Factors for Company Reporting.  Version 1.0 August 2019.</t>
    </r>
  </si>
  <si>
    <r>
      <rPr>
        <vertAlign val="superscript"/>
        <sz val="9"/>
        <rFont val="Arial"/>
        <family val="2"/>
      </rPr>
      <t xml:space="preserve">A </t>
    </r>
    <r>
      <rPr>
        <sz val="9"/>
        <rFont val="Arial"/>
        <family val="2"/>
      </rPr>
      <t xml:space="preserve">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C</t>
    </r>
    <r>
      <rPr>
        <sz val="9"/>
        <rFont val="Arial"/>
        <family val="2"/>
      </rPr>
      <t xml:space="preserve"> Intercity rail: Amtrak long-distance rail between major cities. Northeast Corridor extends from Boston to Washington D.C. Other Routes are all routes outside the Northeast Corridor.
</t>
    </r>
    <r>
      <rPr>
        <vertAlign val="superscript"/>
        <sz val="9"/>
        <rFont val="Arial"/>
        <family val="2"/>
      </rPr>
      <t>D</t>
    </r>
    <r>
      <rPr>
        <sz val="9"/>
        <rFont val="Arial"/>
        <family val="2"/>
      </rPr>
      <t xml:space="preserve"> Commuter rail: rail service between a central city and adjacent suburbs (also called regional rail or suburban rail)
</t>
    </r>
    <r>
      <rPr>
        <vertAlign val="superscript"/>
        <sz val="9"/>
        <rFont val="Arial"/>
        <family val="2"/>
      </rPr>
      <t>E</t>
    </r>
    <r>
      <rPr>
        <sz val="9"/>
        <rFont val="Arial"/>
        <family val="2"/>
      </rPr>
      <t xml:space="preserve"> Transit rail: rail typically within an urban center, such as subways, elevated railways, metropolitan railways (metro), streetcars, trolley cars, and tramways.</t>
    </r>
  </si>
  <si>
    <r>
      <t>Waterborne Craft</t>
    </r>
    <r>
      <rPr>
        <vertAlign val="superscript"/>
        <sz val="10"/>
        <rFont val="Arial"/>
        <family val="2"/>
      </rPr>
      <t>C</t>
    </r>
  </si>
  <si>
    <r>
      <t>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data for road vehicles are from Table 2-13 of the U.S. Greenhouse Gas Emissions and Sinks: 1990–2018 (Feb. 2020).  
Vehicle-miles and passenger-miles data for road vehicles are from Table VM-1 of the Federal Highway Administration Highway Statistics 2018.  
CO</t>
    </r>
    <r>
      <rPr>
        <vertAlign val="subscript"/>
        <sz val="9"/>
        <rFont val="Arial"/>
        <family val="2"/>
      </rPr>
      <t>2</t>
    </r>
    <r>
      <rPr>
        <sz val="9"/>
        <rFont val="Arial"/>
        <family val="2"/>
      </rPr>
      <t>e emissions data for non-road vehicles are based on Table A-124 of the U.S. Greenhouse Gas Emissions and Sinks: 1990–2018, which are distributed into CO</t>
    </r>
    <r>
      <rPr>
        <vertAlign val="subscript"/>
        <sz val="9"/>
        <rFont val="Arial"/>
        <family val="2"/>
      </rPr>
      <t>2</t>
    </r>
    <r>
      <rPr>
        <sz val="9"/>
        <rFont val="Arial"/>
        <family val="2"/>
      </rPr>
      <t>, CH</t>
    </r>
    <r>
      <rPr>
        <vertAlign val="subscript"/>
        <sz val="9"/>
        <rFont val="Arial"/>
        <family val="2"/>
      </rPr>
      <t>4</t>
    </r>
    <r>
      <rPr>
        <sz val="9"/>
        <rFont val="Arial"/>
        <family val="2"/>
      </rPr>
      <t>, and N</t>
    </r>
    <r>
      <rPr>
        <vertAlign val="subscript"/>
        <sz val="9"/>
        <rFont val="Arial"/>
        <family val="2"/>
      </rPr>
      <t>2</t>
    </r>
    <r>
      <rPr>
        <sz val="9"/>
        <rFont val="Arial"/>
        <family val="2"/>
      </rPr>
      <t>O emissions based on fuel/vehicle emission factors.
Freight ton-mile data for non-road vehicles are from Table 1-50 of the Bureau of Transportation Statistics, National Transportation Statistics for 2019 (Data based on 2017).</t>
    </r>
  </si>
  <si>
    <r>
      <t xml:space="preserve">Vehicle-mile factors are appropriate to use when the entire vehicle is dedicated to transporting the reporting company's product.  Ton-mile factors are appropriate when the vehicle is shared with products from other companies.  
</t>
    </r>
    <r>
      <rPr>
        <vertAlign val="superscript"/>
        <sz val="9"/>
        <rFont val="Arial"/>
        <family val="2"/>
      </rPr>
      <t xml:space="preserve">A </t>
    </r>
    <r>
      <rPr>
        <sz val="9"/>
        <rFont val="Arial"/>
        <family val="2"/>
      </rPr>
      <t xml:space="preserve">Passenger car: includes passenger cars, minivans, SUVs, and small pickup trucks (vehicles with wheelbase less than 121 inches).  
</t>
    </r>
    <r>
      <rPr>
        <vertAlign val="superscript"/>
        <sz val="9"/>
        <rFont val="Arial"/>
        <family val="2"/>
      </rPr>
      <t>B</t>
    </r>
    <r>
      <rPr>
        <sz val="9"/>
        <rFont val="Arial"/>
        <family val="2"/>
      </rPr>
      <t xml:space="preserve"> Light-duty truck: includes full-size pickup trucks, full-size vans, and extended-length SUVs (vehicles with wheelbase greater than 121 inches).
</t>
    </r>
    <r>
      <rPr>
        <vertAlign val="superscript"/>
        <sz val="9"/>
        <rFont val="Arial"/>
        <family val="2"/>
      </rPr>
      <t xml:space="preserve">C </t>
    </r>
    <r>
      <rPr>
        <sz val="9"/>
        <rFont val="Arial"/>
        <family val="2"/>
      </rPr>
      <t xml:space="preserve">Waterborne Craft: updates due to a methodology change.
</t>
    </r>
  </si>
  <si>
    <t>Scope 3 Emissions from Employee Commuting</t>
  </si>
  <si>
    <t>Scope 3 Emissions from Product Transport</t>
  </si>
  <si>
    <t>Scope 3 Emissions from Waste</t>
  </si>
  <si>
    <t>Waste Material</t>
  </si>
  <si>
    <t>Disposal Method</t>
  </si>
  <si>
    <r>
      <t>CO</t>
    </r>
    <r>
      <rPr>
        <b/>
        <vertAlign val="subscript"/>
        <sz val="10"/>
        <rFont val="Arial"/>
        <family val="2"/>
      </rPr>
      <t>2</t>
    </r>
    <r>
      <rPr>
        <b/>
        <sz val="10"/>
        <rFont val="Arial"/>
        <family val="2"/>
      </rPr>
      <t>e (kg)</t>
    </r>
  </si>
  <si>
    <r>
      <t>CO</t>
    </r>
    <r>
      <rPr>
        <b/>
        <vertAlign val="subscript"/>
        <sz val="10"/>
        <rFont val="Arial"/>
        <family val="2"/>
      </rPr>
      <t>2</t>
    </r>
    <r>
      <rPr>
        <b/>
        <sz val="10"/>
        <rFont val="Arial"/>
        <family val="2"/>
      </rPr>
      <t>e Emissions (kg)</t>
    </r>
  </si>
  <si>
    <t>Aluminum Cans</t>
  </si>
  <si>
    <t>Aluminum Ingot</t>
  </si>
  <si>
    <t>Steel Cans</t>
  </si>
  <si>
    <t>Copper Wire</t>
  </si>
  <si>
    <t>Glass</t>
  </si>
  <si>
    <t>HDPE</t>
  </si>
  <si>
    <t>LDPE</t>
  </si>
  <si>
    <t>PET</t>
  </si>
  <si>
    <t>LLDPE</t>
  </si>
  <si>
    <t>PP</t>
  </si>
  <si>
    <t>PS</t>
  </si>
  <si>
    <t>PVC</t>
  </si>
  <si>
    <t>PLA</t>
  </si>
  <si>
    <t>Corrugated Containers</t>
  </si>
  <si>
    <t>Magazines/Third-class mail</t>
  </si>
  <si>
    <t>Newspaper</t>
  </si>
  <si>
    <t>Office Paper</t>
  </si>
  <si>
    <t>Phonebooks</t>
  </si>
  <si>
    <t>Textbooks</t>
  </si>
  <si>
    <t>Dimensional Lumber</t>
  </si>
  <si>
    <t>Medium-density Fiberboard</t>
  </si>
  <si>
    <t>Food Waste (non-meat)</t>
  </si>
  <si>
    <t>Food Waste (meat only)</t>
  </si>
  <si>
    <t>Beef</t>
  </si>
  <si>
    <t>Poultry</t>
  </si>
  <si>
    <t>Grains</t>
  </si>
  <si>
    <t>Bread</t>
  </si>
  <si>
    <t>Fruits and Vegetables</t>
  </si>
  <si>
    <t>Dairy Products</t>
  </si>
  <si>
    <t>Yard Trimmings</t>
  </si>
  <si>
    <t>Grass</t>
  </si>
  <si>
    <t>Leaves</t>
  </si>
  <si>
    <t>Branches</t>
  </si>
  <si>
    <t>Mixed Paper (general)</t>
  </si>
  <si>
    <t>Mixed Paper (primarily residential)</t>
  </si>
  <si>
    <t>Mixed Paper (primarily from offices)</t>
  </si>
  <si>
    <t>Mixed Metals</t>
  </si>
  <si>
    <t>Mixed Plastics</t>
  </si>
  <si>
    <t>Mixed Recyclables</t>
  </si>
  <si>
    <t>Food Waste</t>
  </si>
  <si>
    <t>Mixed Organics</t>
  </si>
  <si>
    <t>Mixed MSW (municipal solid waste)</t>
  </si>
  <si>
    <t>Carpet</t>
  </si>
  <si>
    <t>Desktop CPUs</t>
  </si>
  <si>
    <t>Portable Electronic Devices</t>
  </si>
  <si>
    <t>Flat-panel Displays</t>
  </si>
  <si>
    <t>CRT Displays</t>
  </si>
  <si>
    <t>Electronic Peripherals</t>
  </si>
  <si>
    <t>Hard-copy Devices</t>
  </si>
  <si>
    <t>Mixed Electronics</t>
  </si>
  <si>
    <t>Clay Bricks</t>
  </si>
  <si>
    <t>Concrete</t>
  </si>
  <si>
    <t>Fly Ash</t>
  </si>
  <si>
    <t>Tires</t>
  </si>
  <si>
    <t>Asphalt Concrete</t>
  </si>
  <si>
    <t>Asphalt Shingles</t>
  </si>
  <si>
    <t>Drywall</t>
  </si>
  <si>
    <t>Fiberglass Insulation</t>
  </si>
  <si>
    <t>Vinyl Flooring</t>
  </si>
  <si>
    <t>Wood Flooring</t>
  </si>
  <si>
    <t>Waste Disposal Method</t>
  </si>
  <si>
    <t>Anaerobically Digested (Dry Digestate with Curing)</t>
  </si>
  <si>
    <t>Anaerobically Digested (Wet  Digestate with Curing)</t>
  </si>
  <si>
    <t>Recycled</t>
  </si>
  <si>
    <t>Landfilled</t>
  </si>
  <si>
    <t>Composted</t>
  </si>
  <si>
    <t>Waste Emission Factors</t>
  </si>
  <si>
    <r>
      <t>Metric Tons CO</t>
    </r>
    <r>
      <rPr>
        <b/>
        <vertAlign val="subscript"/>
        <sz val="10"/>
        <rFont val="Arial"/>
        <family val="2"/>
      </rPr>
      <t>2</t>
    </r>
    <r>
      <rPr>
        <b/>
        <sz val="10"/>
        <rFont val="Arial"/>
        <family val="2"/>
      </rPr>
      <t>e / Short Ton Material</t>
    </r>
  </si>
  <si>
    <t>Material</t>
  </si>
  <si>
    <t>NA</t>
  </si>
  <si>
    <r>
      <t xml:space="preserve">Source: </t>
    </r>
    <r>
      <rPr>
        <sz val="9"/>
        <rFont val="Arial"/>
        <family val="2"/>
      </rPr>
      <t xml:space="preserve">EPA, Office of Resource Conservation and Recovery (February 2016) Documentation for Greenhouse Gas Emission and Energy Factors used in the Waste Reduction Model (WARM).  Factors from tables provided in the Management Practices Chapters and Background Chapters.  WARM Version 15.  Additional data provided  by EPA, WARM-15 Background Data. </t>
    </r>
  </si>
  <si>
    <r>
      <rPr>
        <b/>
        <sz val="9"/>
        <rFont val="Arial"/>
        <family val="2"/>
      </rPr>
      <t xml:space="preserve">Notes: </t>
    </r>
    <r>
      <rPr>
        <sz val="9"/>
        <rFont val="Arial"/>
        <family val="2"/>
      </rPr>
      <t>These factors do not include any avoided emissions impact from any of the disposal methods. All the factors presented here include transportation emissions, which are optional in the Scope 3 Calculation Guidance, with an assumed average distance traveled to the processing facility. AR4 GWPs are used to convert all waste emission factors into CO</t>
    </r>
    <r>
      <rPr>
        <vertAlign val="subscript"/>
        <sz val="9"/>
        <rFont val="Arial"/>
        <family val="2"/>
      </rPr>
      <t>2</t>
    </r>
    <r>
      <rPr>
        <sz val="9"/>
        <rFont val="Arial"/>
        <family val="2"/>
      </rPr>
      <t xml:space="preserve">e.   </t>
    </r>
  </si>
  <si>
    <t>Starting Unit</t>
  </si>
  <si>
    <t>Weight Conversion to Short Tons</t>
  </si>
  <si>
    <t>Conversion to Short Tons</t>
  </si>
  <si>
    <t>kg</t>
  </si>
  <si>
    <t>g</t>
  </si>
  <si>
    <r>
      <t>Total CO</t>
    </r>
    <r>
      <rPr>
        <b/>
        <vertAlign val="subscript"/>
        <sz val="10"/>
        <rFont val="Arial"/>
        <family val="2"/>
      </rPr>
      <t>2</t>
    </r>
    <r>
      <rPr>
        <b/>
        <sz val="10"/>
        <rFont val="Arial"/>
        <family val="2"/>
      </rPr>
      <t xml:space="preserve"> Equivalent Emissions  (metric tons) - Waste</t>
    </r>
  </si>
  <si>
    <t>Scope 3 Emissions from Waste - HELP SHEET</t>
  </si>
  <si>
    <r>
      <t>Enter the data into the appropriate orange colored boxes (Tables 1) of the Calculator section titled “Waste.”  Once the data are entered into the Calculator, the CO</t>
    </r>
    <r>
      <rPr>
        <vertAlign val="subscript"/>
        <sz val="10"/>
        <rFont val="Arial"/>
        <family val="2"/>
      </rPr>
      <t>2</t>
    </r>
    <r>
      <rPr>
        <sz val="10"/>
        <rFont val="Arial"/>
        <family val="2"/>
      </rPr>
      <t xml:space="preserve"> equivalent emissions are calculated and summarized in the green colored box. </t>
    </r>
  </si>
  <si>
    <t>Weight of waste disposed by material type and disposal method</t>
  </si>
  <si>
    <t>1.  Average mpg values from the U.S. Department of Transportation, Federal Highway Administration, Highway Statistics 2018 (Jan 2020), Table VM-1.</t>
  </si>
  <si>
    <t>August 2020</t>
  </si>
  <si>
    <r>
      <t xml:space="preserve">The EPA Simplified GHG Emissions Calculator ("the Calculator") is designed as a simplified calculation tool to help organizations estimate and inventory their annual greenhouse gas (GHG) emissions for US-based operations. All methodologies and default values provided are based on the most current Center for Corporate Climate Leadership Greenhouse </t>
    </r>
    <r>
      <rPr>
        <i/>
        <sz val="11"/>
        <rFont val="Arial"/>
        <family val="2"/>
      </rPr>
      <t>Gas Inventory Guidance Documents</t>
    </r>
    <r>
      <rPr>
        <sz val="11"/>
        <rFont val="Arial"/>
        <family val="2"/>
      </rPr>
      <t xml:space="preserve"> and the</t>
    </r>
    <r>
      <rPr>
        <i/>
        <sz val="11"/>
        <rFont val="Arial"/>
        <family val="2"/>
      </rPr>
      <t xml:space="preserve"> Emission Factors Hub</t>
    </r>
    <r>
      <rPr>
        <sz val="11"/>
        <rFont val="Arial"/>
        <family val="2"/>
      </rPr>
      <t>. The Calculator will quantify the direct and indirect emissions from sources at an organization when activity data are entered into the various sections of the workbook for one annual period.</t>
    </r>
  </si>
  <si>
    <t>Waste Generated in Operations</t>
  </si>
  <si>
    <t xml:space="preserve">Do you generate waste that is disposed of in a facility owned by another organization? </t>
  </si>
  <si>
    <t xml:space="preserve">   (B) Choose the appropriate material and disposal method from the drop down options. For the average-data method, use one of the mixed material types, such as mixed 
    MSW. If the exact waste material is not available, consider an appropriate proxy. For example, dimensional lumber can be used as a proxy for wood furniture.</t>
  </si>
  <si>
    <t xml:space="preserve"> Total Emissions by Disposal Method</t>
  </si>
  <si>
    <t>Passenger Cars - Gasoline</t>
  </si>
  <si>
    <t>Light-Duty Trucks - Gasoline</t>
  </si>
  <si>
    <t>Heavy-Duty Vehicles - Gasoline</t>
  </si>
  <si>
    <t>Motorcycles - Gasoline</t>
  </si>
  <si>
    <t>Passenger Cars - Diesel</t>
  </si>
  <si>
    <t>Light-Duty Trucks - Diesel</t>
  </si>
  <si>
    <t>Medium- and Heavy-Duty Vehicles - Diesel</t>
  </si>
  <si>
    <t>Light-Duty Cars - Methanol</t>
  </si>
  <si>
    <t>Light-Duty Cars - Ethanol</t>
  </si>
  <si>
    <t>Light-Duty Cars - CNG</t>
  </si>
  <si>
    <t>Light-Duty Cars - LPG</t>
  </si>
  <si>
    <t>Light-Duty Cars - Biodiesel</t>
  </si>
  <si>
    <t>Light-Duty Trucks - Ethanol</t>
  </si>
  <si>
    <t>Light-Duty Trucks - CNG</t>
  </si>
  <si>
    <t>Light-Duty Trucks - LPG</t>
  </si>
  <si>
    <t>Light-Duty Trucks - LNG</t>
  </si>
  <si>
    <t>Light-Duty Trucks - Biodiesel</t>
  </si>
  <si>
    <t>Medium-Duty Trucks - CNG</t>
  </si>
  <si>
    <t>Medium-Duty Trucks - LPG</t>
  </si>
  <si>
    <t>Medium-Duty Trucks - LNG</t>
  </si>
  <si>
    <t>Medium-Duty Trucks - Biodiesel</t>
  </si>
  <si>
    <t>Heavy-Duty Trucks - Methanol</t>
  </si>
  <si>
    <t>Heavy-Duty Trucks - Ethanol</t>
  </si>
  <si>
    <t>Heavy-Duty Trucks - CNG</t>
  </si>
  <si>
    <t>Heavy-Duty Trucks - LPG</t>
  </si>
  <si>
    <t>Heavy-Duty Trucks - LNG</t>
  </si>
  <si>
    <t>Heavy-Duty Trucks - Biodiesel</t>
  </si>
  <si>
    <t>Buses - Methanol</t>
  </si>
  <si>
    <t>Buses - Ethanol</t>
  </si>
  <si>
    <t>Buses - CNG</t>
  </si>
  <si>
    <t>Buses - LPG</t>
  </si>
  <si>
    <t>Buses - LNG</t>
  </si>
  <si>
    <t>Buses - Biodiesel</t>
  </si>
  <si>
    <t>Aircraft - Jet Fuel</t>
  </si>
  <si>
    <t>Aircraft - Aviation Gasoline</t>
  </si>
  <si>
    <t>Ships and Boats - Residual Fuel Oil</t>
  </si>
  <si>
    <t>Ships and Boats - Gasoline</t>
  </si>
  <si>
    <t>Ships and Boats - Diesel</t>
  </si>
  <si>
    <t>Locomotives - Diesel</t>
  </si>
  <si>
    <t>Other Offroad Equipment - Gasoline</t>
  </si>
  <si>
    <t>Other Offroad Equipment - Diesel</t>
  </si>
  <si>
    <t>Other Offroad Equipment - LPG</t>
  </si>
  <si>
    <t>Other Offroad Equipment</t>
  </si>
  <si>
    <r>
      <t>Total Organization-Wide Highway 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</si>
  <si>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Mobile Source Fuel Usage and CO</t>
    </r>
    <r>
      <rPr>
        <b/>
        <vertAlign val="subscript"/>
        <sz val="10"/>
        <rFont val="Arial"/>
        <family val="2"/>
      </rPr>
      <t>2</t>
    </r>
    <r>
      <rPr>
        <b/>
        <sz val="10"/>
        <rFont val="Arial"/>
        <family val="2"/>
      </rPr>
      <t xml:space="preserve"> Emissions (Highway and Non-Highway Vehicles)</t>
    </r>
  </si>
  <si>
    <t xml:space="preserve">The Vehicle Type column is organized in order of most common vehicle types and their fuels. </t>
  </si>
  <si>
    <t>Waste</t>
  </si>
  <si>
    <t>Mixed Paper general</t>
  </si>
  <si>
    <t>Material for SGEC Lookup</t>
  </si>
  <si>
    <t>Food Waste meat only</t>
  </si>
  <si>
    <t>Mixed Paper primarily residential</t>
  </si>
  <si>
    <t>Mixed Paper primarily from offices</t>
  </si>
  <si>
    <t>Mixed MSW municipal solid waste</t>
  </si>
  <si>
    <t>Flat panel Displays</t>
  </si>
  <si>
    <t>Food Waste non meat</t>
  </si>
  <si>
    <t>Medium density Fiberboard</t>
  </si>
  <si>
    <t>Magazines and Third class mail</t>
  </si>
  <si>
    <t>Hard copy Devices</t>
  </si>
  <si>
    <t xml:space="preserve">Collect information on the amount of weight disposed at your facilities, by the type of waste (plastics, paper, etc.) and disposal method (recycling, incineration, etc.). Refer to the Emission Factors tab for a complete list of materials and available disposal methods. </t>
  </si>
  <si>
    <t>Non-highway vehicles should be classified as "Other Offroad Equipment"</t>
  </si>
  <si>
    <r>
      <t>After the data has been collected, it should be entered into the appropriate orange colored boxes of the Calculator section titled “Stationary Combustion.”  The fuel type can be selected from the form.  After the data are entered into the Calculator, the CO</t>
    </r>
    <r>
      <rPr>
        <vertAlign val="subscript"/>
        <sz val="10"/>
        <rFont val="Arial"/>
        <family val="2"/>
      </rPr>
      <t>2</t>
    </r>
    <r>
      <rPr>
        <sz val="10"/>
        <rFont val="Arial"/>
        <family val="2"/>
      </rPr>
      <t xml:space="preserve"> equivalent emissions are displayed in the blue colored box.  </t>
    </r>
  </si>
  <si>
    <r>
      <t>Enter the data into the appropriate orange colored boxes of the Calculator section titled “Mobile Sources.”  If the organization owns or leases biofuel or ethanol vehicles, the percentage of biologically-based fuel should be entered into the boxes provided; default values are available if needed.  Once the data are entered into the Calculator, the CO</t>
    </r>
    <r>
      <rPr>
        <vertAlign val="subscript"/>
        <sz val="10"/>
        <rFont val="Arial"/>
        <family val="2"/>
      </rPr>
      <t>2</t>
    </r>
    <r>
      <rPr>
        <sz val="10"/>
        <rFont val="Arial"/>
        <family val="2"/>
      </rPr>
      <t xml:space="preserve"> equivalent emissions are calculated and summarized in the blue colored box.  Biomass CO</t>
    </r>
    <r>
      <rPr>
        <vertAlign val="subscript"/>
        <sz val="10"/>
        <rFont val="Arial"/>
        <family val="2"/>
      </rPr>
      <t>2</t>
    </r>
    <r>
      <rPr>
        <sz val="10"/>
        <rFont val="Arial"/>
        <family val="2"/>
      </rPr>
      <t xml:space="preserve"> emissions are calculated and summarized in the green colored box, and are typically not summed into the organization’s total GHG emissions because they are considered to be a net zero emission source.</t>
    </r>
  </si>
  <si>
    <r>
      <t>Table 1.  Organization-Wide Refrigeration Gas CO</t>
    </r>
    <r>
      <rPr>
        <b/>
        <vertAlign val="subscript"/>
        <sz val="10"/>
        <rFont val="Arial"/>
        <family val="2"/>
      </rPr>
      <t>2</t>
    </r>
    <r>
      <rPr>
        <b/>
        <sz val="10"/>
        <rFont val="Arial"/>
        <family val="2"/>
      </rPr>
      <t xml:space="preserve"> Equivalent Emissions - Material Balance</t>
    </r>
  </si>
  <si>
    <r>
      <t>Table 2.  Organization-Wide Refrigeration Gas CO</t>
    </r>
    <r>
      <rPr>
        <b/>
        <vertAlign val="subscript"/>
        <sz val="10"/>
        <rFont val="Arial"/>
        <family val="2"/>
      </rPr>
      <t>2</t>
    </r>
    <r>
      <rPr>
        <b/>
        <sz val="10"/>
        <rFont val="Arial"/>
        <family val="2"/>
      </rPr>
      <t xml:space="preserve"> Equivalent Emissions - Simplified Material Balance</t>
    </r>
  </si>
  <si>
    <r>
      <t>Table 1.  Organization-Wide Fire Suppression Gas CO</t>
    </r>
    <r>
      <rPr>
        <b/>
        <vertAlign val="subscript"/>
        <sz val="10"/>
        <rFont val="Arial"/>
        <family val="2"/>
      </rPr>
      <t>2</t>
    </r>
    <r>
      <rPr>
        <b/>
        <sz val="10"/>
        <rFont val="Arial"/>
        <family val="2"/>
      </rPr>
      <t xml:space="preserve"> Equivalent Emissions - Material Balance</t>
    </r>
  </si>
  <si>
    <r>
      <t>Table 2.  Organization-Wide Fire Suppression Gas CO</t>
    </r>
    <r>
      <rPr>
        <b/>
        <vertAlign val="subscript"/>
        <sz val="10"/>
        <rFont val="Arial"/>
        <family val="2"/>
      </rPr>
      <t>2</t>
    </r>
    <r>
      <rPr>
        <b/>
        <sz val="10"/>
        <rFont val="Arial"/>
        <family val="2"/>
      </rPr>
      <t xml:space="preserve"> Equivalent Emissions - Simplified Material Balance</t>
    </r>
  </si>
  <si>
    <t>Intercity Rail - Northeast Corridor</t>
  </si>
  <si>
    <t>Intercity Rail - Other Routes</t>
  </si>
  <si>
    <t>Intercity Rail - National Average</t>
  </si>
  <si>
    <r>
      <t>Collect electricity purchase information in units of kWh for each facility.  The best data source is typically its electricity bill or invoice.  In the Calculator, there is a map at the bottom of the “Electricity” section which divides the United States into subregions based on the electric grid.  Select the subregion(s) in which the organization’s facilities are located to determine the correct CO</t>
    </r>
    <r>
      <rPr>
        <vertAlign val="subscript"/>
        <sz val="10"/>
        <rFont val="Arial"/>
        <family val="2"/>
      </rPr>
      <t>2</t>
    </r>
    <r>
      <rPr>
        <sz val="10"/>
        <rFont val="Arial"/>
        <family val="2"/>
      </rPr>
      <t>, CH</t>
    </r>
    <r>
      <rPr>
        <vertAlign val="subscript"/>
        <sz val="10"/>
        <rFont val="Arial"/>
        <family val="2"/>
      </rPr>
      <t>4</t>
    </r>
    <r>
      <rPr>
        <sz val="10"/>
        <rFont val="Arial"/>
        <family val="2"/>
      </rPr>
      <t>, and N</t>
    </r>
    <r>
      <rPr>
        <vertAlign val="subscript"/>
        <sz val="10"/>
        <rFont val="Arial"/>
        <family val="2"/>
      </rPr>
      <t>2</t>
    </r>
    <r>
      <rPr>
        <sz val="10"/>
        <rFont val="Arial"/>
        <family val="2"/>
      </rPr>
      <t xml:space="preserve">O emission factors to use, since different parts of the country use different fuels to generate electricity. Multiple facility locations can be entered as separate line items in the Calculator.  If a facility is on the border of a subregion, enter the zip code into EPA's Power Profiler (https://oaspub.epa.gov/powpro/ept_pack.charts) to find the correct subregion.  </t>
    </r>
  </si>
  <si>
    <r>
      <t>Scope 3 emissions from waste include the disposal and treatment of waste generated in the reporting company’s operations in the reporting year in facilities not owned or controlled by the reporting company. These emission factors align with the requirements of the GHG Protocol Scope 3 Standard. The emission factors do not include any avoided emissions impact from any of the disposal methods. All the factors presented include transportation emissions, which are optional in the Scope 3 Calculation Guidance, with an assumed average distance traveled to the processing facility. AR4 GWPs are used to convert all waste emission factors into CO</t>
    </r>
    <r>
      <rPr>
        <vertAlign val="subscript"/>
        <sz val="10"/>
        <rFont val="Arial"/>
        <family val="2"/>
      </rPr>
      <t>2</t>
    </r>
    <r>
      <rPr>
        <sz val="10"/>
        <rFont val="Arial"/>
        <family val="2"/>
      </rPr>
      <t xml:space="preserve">e.   </t>
    </r>
  </si>
  <si>
    <r>
      <t>Total Organization-Wide Highway Non-Gasoline Mobile Source Mileage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</si>
  <si>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Total Organization-Wide Non-Highway Mobile Source Fuel Usage and CH</t>
    </r>
    <r>
      <rPr>
        <b/>
        <vertAlign val="subscript"/>
        <sz val="10"/>
        <rFont val="Arial"/>
        <family val="2"/>
      </rPr>
      <t>4</t>
    </r>
    <r>
      <rPr>
        <b/>
        <sz val="10"/>
        <rFont val="Arial"/>
        <family val="2"/>
      </rPr>
      <t>/N</t>
    </r>
    <r>
      <rPr>
        <b/>
        <vertAlign val="subscript"/>
        <sz val="10"/>
        <rFont val="Arial"/>
        <family val="2"/>
      </rPr>
      <t>2</t>
    </r>
    <r>
      <rPr>
        <b/>
        <sz val="10"/>
        <rFont val="Arial"/>
        <family val="2"/>
      </rPr>
      <t>O Emissions</t>
    </r>
  </si>
  <si>
    <r>
      <t>1.  CO</t>
    </r>
    <r>
      <rPr>
        <vertAlign val="subscript"/>
        <sz val="8"/>
        <rFont val="Arial"/>
        <family val="2"/>
      </rPr>
      <t>2</t>
    </r>
    <r>
      <rPr>
        <sz val="8"/>
        <rFont val="Arial"/>
        <family val="2"/>
      </rPr>
      <t>, CH</t>
    </r>
    <r>
      <rPr>
        <vertAlign val="subscript"/>
        <sz val="8"/>
        <rFont val="Arial"/>
        <family val="2"/>
      </rPr>
      <t>4</t>
    </r>
    <r>
      <rPr>
        <sz val="8"/>
        <rFont val="Arial"/>
        <family val="2"/>
      </rPr>
      <t xml:space="preserve"> and N</t>
    </r>
    <r>
      <rPr>
        <vertAlign val="subscript"/>
        <sz val="8"/>
        <rFont val="Arial"/>
        <family val="2"/>
      </rPr>
      <t>2</t>
    </r>
    <r>
      <rPr>
        <sz val="8"/>
        <rFont val="Arial"/>
        <family val="2"/>
      </rPr>
      <t>O emissions are estimated using methodology provided in EPA's Center for Corporate Climate Leadership Greenhouse Gas Inventory Guidance</t>
    </r>
  </si>
  <si>
    <r>
      <t>Assumed these CH</t>
    </r>
    <r>
      <rPr>
        <vertAlign val="subscript"/>
        <sz val="10"/>
        <rFont val="Arial"/>
        <family val="2"/>
      </rPr>
      <t xml:space="preserve">4 </t>
    </r>
    <r>
      <rPr>
        <sz val="10"/>
        <rFont val="Arial"/>
        <family val="2"/>
      </rPr>
      <t>and N</t>
    </r>
    <r>
      <rPr>
        <vertAlign val="subscript"/>
        <sz val="10"/>
        <rFont val="Arial"/>
        <family val="2"/>
      </rPr>
      <t>2</t>
    </r>
    <r>
      <rPr>
        <sz val="10"/>
        <rFont val="Arial"/>
        <family val="2"/>
      </rPr>
      <t>O factors for ethanol heavy-duty vehicles and buses</t>
    </r>
  </si>
  <si>
    <t>EPA (2020) Inventory of U.S. Greenhouse Gas Emissions and Sinks: 1990-2018. Page A-279.</t>
  </si>
  <si>
    <t>short ton / short ton</t>
  </si>
  <si>
    <t>short ton / g</t>
  </si>
  <si>
    <t>short ton / kg</t>
  </si>
  <si>
    <t>short ton / lb</t>
  </si>
  <si>
    <r>
      <t xml:space="preserve">(A) Enter annual data for each vehicle or group of vehicles (grouped by vehicle type, vehicle year, and fuel type) in ORANGE cells in 
     </t>
    </r>
    <r>
      <rPr>
        <b/>
        <sz val="10"/>
        <rFont val="Arial"/>
        <family val="2"/>
      </rPr>
      <t>Table 1</t>
    </r>
    <r>
      <rPr>
        <sz val="10"/>
        <rFont val="Arial"/>
        <family val="2"/>
      </rPr>
      <t>.  Example entry is shown in first row (</t>
    </r>
    <r>
      <rPr>
        <sz val="10"/>
        <color indexed="21"/>
        <rFont val="Arial"/>
        <family val="2"/>
      </rPr>
      <t>GREEN</t>
    </r>
    <r>
      <rPr>
        <sz val="10"/>
        <rFont val="Arial"/>
        <family val="2"/>
      </rPr>
      <t xml:space="preserve"> </t>
    </r>
    <r>
      <rPr>
        <i/>
        <sz val="10"/>
        <color indexed="21"/>
        <rFont val="Arial"/>
        <family val="2"/>
      </rPr>
      <t>Italics</t>
    </r>
    <r>
      <rPr>
        <sz val="10"/>
        <rFont val="Arial"/>
        <family val="2"/>
      </rPr>
      <t xml:space="preserve">).  Only enter </t>
    </r>
    <r>
      <rPr>
        <u/>
        <sz val="10"/>
        <rFont val="Arial"/>
        <family val="2"/>
      </rPr>
      <t>vehicles owned or leased</t>
    </r>
    <r>
      <rPr>
        <sz val="10"/>
        <rFont val="Arial"/>
        <family val="2"/>
      </rPr>
      <t xml:space="preserve"> by your organization on 
     this sheet.  All other vehicle use such as employee commuting or business travel is considered a scope 3 emissions source 
     and should be reported in the corresponding scope 3 sheets. </t>
    </r>
  </si>
  <si>
    <t>https://www.epa.gov/climateleadership/center-corporate-climate-leadership-indirect-emissions-purchased-electricity</t>
  </si>
  <si>
    <r>
      <t xml:space="preserve">   (A) Enter annual waste data in ORANGE cells.  Example entry is shown in first row (</t>
    </r>
    <r>
      <rPr>
        <i/>
        <sz val="10"/>
        <color indexed="21"/>
        <rFont val="Arial"/>
        <family val="2"/>
      </rPr>
      <t>GREEN Italics</t>
    </r>
    <r>
      <rPr>
        <sz val="10"/>
        <rFont val="Arial"/>
        <family val="2"/>
      </rPr>
      <t>).</t>
    </r>
  </si>
  <si>
    <t xml:space="preserve">   (C) Choose an appropriate disposal method.  Note that not all disposal methods are available for all materials.  If there is a #NA or # Value error in the emissions column, you must pick a 
    new material type or appropriate disposal method. </t>
  </si>
  <si>
    <r>
      <t xml:space="preserve">If you have multiple Calculator files covering sub-sets of your inventory for a particular reporting period, sum each of the emission categories (e.g. Stationary Combustion) to an organizational total, which then can be entered into the </t>
    </r>
    <r>
      <rPr>
        <i/>
        <sz val="11"/>
        <rFont val="Arial"/>
        <family val="2"/>
      </rPr>
      <t>Annual GHG Inventory Summary and Goal Tracking Form</t>
    </r>
    <r>
      <rPr>
        <sz val="11"/>
        <rFont val="Arial"/>
        <family val="2"/>
      </rPr>
      <t>.</t>
    </r>
  </si>
  <si>
    <t>Our Savior's Lutheran Church of Bonner</t>
  </si>
  <si>
    <t>8985 Hwy 200 S. PO Box 1005, Bonner, MT 59823</t>
  </si>
  <si>
    <t>Fiscal Year 2019</t>
  </si>
  <si>
    <t>Mason Dow</t>
  </si>
  <si>
    <t>(530) 643-2892</t>
  </si>
  <si>
    <t>N</t>
  </si>
  <si>
    <t>Y</t>
  </si>
  <si>
    <t>Pastor Vehicle</t>
  </si>
  <si>
    <t>PV-01</t>
  </si>
  <si>
    <t>Bldg-01</t>
  </si>
  <si>
    <t>Main Building</t>
  </si>
  <si>
    <t>Bldg-02</t>
  </si>
  <si>
    <t>Rental</t>
  </si>
  <si>
    <t>CC-all</t>
  </si>
  <si>
    <t>General Dumpster Waste</t>
  </si>
  <si>
    <t>General Mixed Recyclables</t>
  </si>
  <si>
    <t>Glass Containers</t>
  </si>
  <si>
    <t>Rental Property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</si>
</sst>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_(* \(#,##0\);_(* &quot;-&quot;_);_(@_)"/>
    <numFmt numFmtId="44" formatCode="_(&quot;$&quot;* #,##0.00_);_(&quot;$&quot;* \(#,##0.00\);_(&quot;$&quot;* &quot;-&quot;??_);_(@_)"/>
    <numFmt numFmtId="43" formatCode="_(* #,##0.00_);_(* \(#,##0.00\);_(* &quot;-&quot;??_);_(@_)"/>
    <numFmt numFmtId="164" formatCode="0.000"/>
    <numFmt numFmtId="165" formatCode="0.0"/>
    <numFmt numFmtId="166" formatCode="0.0000"/>
    <numFmt numFmtId="167" formatCode="#,##0.0"/>
    <numFmt numFmtId="168" formatCode="#,##0.000"/>
    <numFmt numFmtId="169" formatCode="_([$€-2]* #,##0.00_);_([$€-2]* \(#,##0.00\);_([$€-2]* &quot;-&quot;??_)"/>
    <numFmt numFmtId="170" formatCode="0.00000"/>
    <numFmt numFmtId="171" formatCode="_(* #,##0.0_);_(* \(#,##0.0\);_(* &quot;-&quot;??_);_(@_)"/>
    <numFmt numFmtId="172" formatCode="_(* #,##0_);_(* \(#,##0\);_(* &quot;-&quot;??_);_(@_)"/>
    <numFmt numFmtId="173" formatCode="_(* #,##0.00000_);_(* \(#,##0.00000\);_(* &quot;-&quot;??_);_(@_)"/>
    <numFmt numFmtId="174" formatCode="_(* #,##0.000000_);_(* \(#,##0.000000\);_(* &quot;-&quot;??_);_(@_)"/>
    <numFmt numFmtId="175" formatCode="#,##0.0_);\(#,##0.0\)"/>
    <numFmt numFmtId="176" formatCode="0.0%"/>
    <numFmt numFmtId="177" formatCode="&quot;$&quot;#,##0\ ;\(&quot;$&quot;#,##0\)"/>
    <numFmt numFmtId="178" formatCode="_(* #,##0_);_(* \(#,##0\);_(@_)"/>
    <numFmt numFmtId="179" formatCode="_(* #,##0.0000_);_(* \(#,##0.0000\);_(* &quot;-&quot;??_);_(@_)"/>
    <numFmt numFmtId="180" formatCode="_(* #,##0.000_);_(* \(#,##0.000\);_(* &quot;-&quot;??_);_(@_)"/>
    <numFmt numFmtId="181" formatCode="_(* #,##0.0000_);_(* \(#,##0.0000\);_(@_)"/>
    <numFmt numFmtId="182" formatCode="General_)"/>
    <numFmt numFmtId="183" formatCode="_(* #,##0.00000000_);_(* \(#,##0.00000000\);_(* &quot;-&quot;??_);_(@_)"/>
    <numFmt numFmtId="184" formatCode="#,##0.0000"/>
    <numFmt numFmtId="185" formatCode="0.000000000"/>
  </numFmts>
  <fonts count="66">
    <font>
      <sz val="10"/>
      <name val="Arial"/>
    </font>
    <font>
      <sz val="10"/>
      <name val="Arial"/>
      <family val="2"/>
    </font>
    <font>
      <u/>
      <sz val="10"/>
      <color indexed="12"/>
      <name val="Arial"/>
      <family val="2"/>
    </font>
    <font>
      <b/>
      <sz val="10"/>
      <name val="Arial"/>
      <family val="2"/>
    </font>
    <font>
      <vertAlign val="subscript"/>
      <sz val="10"/>
      <name val="Arial"/>
      <family val="2"/>
    </font>
    <font>
      <sz val="10"/>
      <name val="Arial"/>
      <family val="2"/>
    </font>
    <font>
      <sz val="1"/>
      <name val="Arial"/>
      <family val="2"/>
    </font>
    <font>
      <sz val="8"/>
      <name val="Helv"/>
    </font>
    <font>
      <b/>
      <sz val="14"/>
      <name val="Helv"/>
    </font>
    <font>
      <b/>
      <sz val="12"/>
      <name val="Helv"/>
    </font>
    <font>
      <vertAlign val="superscript"/>
      <sz val="10"/>
      <name val="Arial"/>
      <family val="2"/>
    </font>
    <font>
      <i/>
      <sz val="10"/>
      <name val="Arial"/>
      <family val="2"/>
    </font>
    <font>
      <sz val="8"/>
      <name val="Arial"/>
      <family val="2"/>
    </font>
    <font>
      <b/>
      <i/>
      <sz val="10"/>
      <name val="Arial"/>
      <family val="2"/>
    </font>
    <font>
      <b/>
      <i/>
      <sz val="12"/>
      <name val="Arial"/>
      <family val="2"/>
    </font>
    <font>
      <b/>
      <vertAlign val="subscript"/>
      <sz val="10"/>
      <name val="Arial"/>
      <family val="2"/>
    </font>
    <font>
      <vertAlign val="subscript"/>
      <sz val="8"/>
      <name val="Arial"/>
      <family val="2"/>
    </font>
    <font>
      <i/>
      <sz val="8"/>
      <name val="Arial"/>
      <family val="2"/>
    </font>
    <font>
      <b/>
      <vertAlign val="superscript"/>
      <sz val="10"/>
      <name val="Arial"/>
      <family val="2"/>
    </font>
    <font>
      <u/>
      <sz val="10"/>
      <name val="Arial"/>
      <family val="2"/>
    </font>
    <font>
      <sz val="10"/>
      <name val="Arial"/>
      <family val="2"/>
    </font>
    <font>
      <sz val="9"/>
      <name val="Arial"/>
      <family val="2"/>
    </font>
    <font>
      <sz val="11"/>
      <name val="Arial"/>
      <family val="2"/>
    </font>
    <font>
      <sz val="10"/>
      <color indexed="24"/>
      <name val="Arial"/>
      <family val="2"/>
    </font>
    <font>
      <b/>
      <sz val="9"/>
      <name val="Arial"/>
      <family val="2"/>
    </font>
    <font>
      <b/>
      <sz val="10"/>
      <color indexed="10"/>
      <name val="Arial"/>
      <family val="2"/>
    </font>
    <font>
      <sz val="10"/>
      <name val="Arial"/>
      <family val="2"/>
    </font>
    <font>
      <sz val="8"/>
      <color indexed="81"/>
      <name val="Tahoma"/>
      <family val="2"/>
    </font>
    <font>
      <i/>
      <sz val="10"/>
      <color indexed="30"/>
      <name val="Arial"/>
      <family val="2"/>
    </font>
    <font>
      <sz val="10"/>
      <name val="Verdana"/>
      <family val="2"/>
    </font>
    <font>
      <sz val="10"/>
      <name val="Verdana"/>
      <family val="2"/>
    </font>
    <font>
      <sz val="10"/>
      <name val="Geneva"/>
    </font>
    <font>
      <i/>
      <sz val="10"/>
      <color indexed="21"/>
      <name val="Arial"/>
      <family val="2"/>
    </font>
    <font>
      <sz val="10"/>
      <color indexed="21"/>
      <name val="Arial"/>
      <family val="2"/>
    </font>
    <font>
      <b/>
      <sz val="9"/>
      <name val="Geneva"/>
    </font>
    <font>
      <u/>
      <sz val="11"/>
      <color indexed="12"/>
      <name val="Arial"/>
      <family val="2"/>
    </font>
    <font>
      <vertAlign val="subscript"/>
      <sz val="11"/>
      <name val="Arial"/>
      <family val="2"/>
    </font>
    <font>
      <b/>
      <sz val="11"/>
      <name val="Arial"/>
      <family val="2"/>
    </font>
    <font>
      <i/>
      <sz val="11"/>
      <name val="Arial"/>
      <family val="2"/>
    </font>
    <font>
      <b/>
      <i/>
      <sz val="11"/>
      <name val="Arial"/>
      <family val="2"/>
    </font>
    <font>
      <b/>
      <i/>
      <sz val="18"/>
      <name val="Arial"/>
      <family val="2"/>
    </font>
    <font>
      <sz val="18"/>
      <name val="Arial"/>
      <family val="2"/>
    </font>
    <font>
      <sz val="12"/>
      <name val="Arial"/>
      <family val="2"/>
    </font>
    <font>
      <sz val="14"/>
      <name val="Arial"/>
      <family val="2"/>
    </font>
    <font>
      <b/>
      <i/>
      <sz val="12"/>
      <color indexed="21"/>
      <name val="Arial"/>
      <family val="2"/>
    </font>
    <font>
      <b/>
      <sz val="12"/>
      <color indexed="21"/>
      <name val="Arial"/>
      <family val="2"/>
    </font>
    <font>
      <b/>
      <sz val="12"/>
      <name val="Arial"/>
      <family val="2"/>
    </font>
    <font>
      <b/>
      <i/>
      <sz val="14"/>
      <name val="Arial"/>
      <family val="2"/>
    </font>
    <font>
      <b/>
      <i/>
      <sz val="16"/>
      <name val="Arial"/>
      <family val="2"/>
    </font>
    <font>
      <sz val="16"/>
      <name val="Arial"/>
      <family val="2"/>
    </font>
    <font>
      <i/>
      <sz val="10"/>
      <color indexed="57"/>
      <name val="Arial"/>
      <family val="2"/>
    </font>
    <font>
      <sz val="9"/>
      <color indexed="81"/>
      <name val="Tahoma"/>
      <family val="2"/>
    </font>
    <font>
      <sz val="9"/>
      <name val="Inherit"/>
    </font>
    <font>
      <sz val="11"/>
      <color theme="1"/>
      <name val="Calibri"/>
      <family val="2"/>
      <scheme val="minor"/>
    </font>
    <font>
      <sz val="9"/>
      <color theme="1"/>
      <name val="Calibri"/>
      <family val="2"/>
      <scheme val="minor"/>
    </font>
    <font>
      <b/>
      <sz val="9"/>
      <color theme="1"/>
      <name val="Calibri"/>
      <family val="2"/>
      <scheme val="minor"/>
    </font>
    <font>
      <i/>
      <sz val="10"/>
      <color rgb="FF0070C0"/>
      <name val="Arial"/>
      <family val="2"/>
    </font>
    <font>
      <b/>
      <sz val="10"/>
      <color theme="0"/>
      <name val="Arial"/>
      <family val="2"/>
    </font>
    <font>
      <i/>
      <sz val="10"/>
      <color rgb="FF138376"/>
      <name val="Arial"/>
      <family val="2"/>
    </font>
    <font>
      <i/>
      <sz val="11"/>
      <color rgb="FF138376"/>
      <name val="Arial"/>
      <family val="2"/>
    </font>
    <font>
      <b/>
      <sz val="12"/>
      <color rgb="FF008080"/>
      <name val="Arial"/>
      <family val="2"/>
    </font>
    <font>
      <sz val="11"/>
      <color rgb="FF138376"/>
      <name val="Arial"/>
      <family val="2"/>
    </font>
    <font>
      <sz val="10"/>
      <color rgb="FF000000"/>
      <name val="Arial"/>
      <family val="2"/>
    </font>
    <font>
      <vertAlign val="subscript"/>
      <sz val="9"/>
      <name val="Arial"/>
      <family val="2"/>
    </font>
    <font>
      <vertAlign val="superscript"/>
      <sz val="9"/>
      <name val="Arial"/>
      <family val="2"/>
    </font>
    <font>
      <sz val="10"/>
      <color rgb="FFFF0000"/>
      <name val="Arial"/>
      <family val="2"/>
    </font>
  </fonts>
  <fills count="2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44"/>
        <bgColor indexed="64"/>
      </patternFill>
    </fill>
    <fill>
      <patternFill patternType="solid">
        <fgColor indexed="47"/>
        <bgColor indexed="64"/>
      </patternFill>
    </fill>
    <fill>
      <patternFill patternType="solid">
        <fgColor indexed="50"/>
        <bgColor indexed="64"/>
      </patternFill>
    </fill>
    <fill>
      <patternFill patternType="solid">
        <fgColor theme="0"/>
        <bgColor indexed="64"/>
      </patternFill>
    </fill>
    <fill>
      <patternFill patternType="solid">
        <fgColor rgb="FF99CCFF"/>
        <bgColor indexed="64"/>
      </patternFill>
    </fill>
    <fill>
      <patternFill patternType="solid">
        <fgColor rgb="FF99CC00"/>
        <bgColor indexed="64"/>
      </patternFill>
    </fill>
    <fill>
      <patternFill patternType="solid">
        <fgColor rgb="FF62C3EF"/>
        <bgColor indexed="64"/>
      </patternFill>
    </fill>
    <fill>
      <patternFill patternType="solid">
        <fgColor rgb="FF0F6CB6"/>
        <bgColor indexed="64"/>
      </patternFill>
    </fill>
    <fill>
      <patternFill patternType="solid">
        <fgColor rgb="FFC0C0C0"/>
        <bgColor indexed="64"/>
      </patternFill>
    </fill>
    <fill>
      <patternFill patternType="solid">
        <fgColor rgb="FFFFCC99"/>
        <bgColor indexed="64"/>
      </patternFill>
    </fill>
    <fill>
      <patternFill patternType="solid">
        <fgColor theme="0" tint="-0.249977111117893"/>
        <bgColor indexed="64"/>
      </patternFill>
    </fill>
    <fill>
      <patternFill patternType="solid">
        <fgColor theme="9" tint="0.39997558519241921"/>
        <bgColor indexed="64"/>
      </patternFill>
    </fill>
    <fill>
      <patternFill patternType="solid">
        <fgColor rgb="FFFDFD95"/>
        <bgColor indexed="64"/>
      </patternFill>
    </fill>
    <fill>
      <patternFill patternType="solid">
        <fgColor theme="7" tint="0.59999389629810485"/>
        <bgColor indexed="64"/>
      </patternFill>
    </fill>
    <fill>
      <patternFill patternType="solid">
        <fgColor rgb="FFFFFFFF"/>
        <bgColor indexed="64"/>
      </patternFill>
    </fill>
    <fill>
      <patternFill patternType="solid">
        <fgColor theme="0" tint="-0.499984740745262"/>
        <bgColor indexed="64"/>
      </patternFill>
    </fill>
    <fill>
      <patternFill patternType="solid">
        <fgColor theme="6" tint="0.59999389629810485"/>
        <bgColor indexed="64"/>
      </patternFill>
    </fill>
    <fill>
      <patternFill patternType="solid">
        <fgColor rgb="FFBFBFBF"/>
        <bgColor indexed="64"/>
      </patternFill>
    </fill>
    <fill>
      <patternFill patternType="solid">
        <fgColor rgb="FFFFFFFF"/>
        <bgColor rgb="FF000000"/>
      </patternFill>
    </fill>
    <fill>
      <patternFill patternType="solid">
        <fgColor theme="0" tint="-0.14999847407452621"/>
        <bgColor indexed="64"/>
      </patternFill>
    </fill>
  </fills>
  <borders count="95">
    <border>
      <left/>
      <right/>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style="medium">
        <color indexed="64"/>
      </left>
      <right style="thin">
        <color indexed="64"/>
      </right>
      <top style="thin">
        <color indexed="64"/>
      </top>
      <bottom style="medium">
        <color indexed="64"/>
      </bottom>
      <diagonal/>
    </border>
    <border>
      <left/>
      <right style="medium">
        <color indexed="64"/>
      </right>
      <top/>
      <bottom/>
      <diagonal/>
    </border>
    <border>
      <left/>
      <right style="thin">
        <color indexed="64"/>
      </right>
      <top/>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thin">
        <color indexed="64"/>
      </top>
      <bottom/>
      <diagonal/>
    </border>
    <border>
      <left/>
      <right/>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top style="medium">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thin">
        <color indexed="64"/>
      </left>
      <right style="thin">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right style="thin">
        <color indexed="64"/>
      </right>
      <top style="medium">
        <color indexed="64"/>
      </top>
      <bottom style="dotted">
        <color indexed="64"/>
      </bottom>
      <diagonal/>
    </border>
    <border>
      <left style="medium">
        <color indexed="64"/>
      </left>
      <right/>
      <top style="medium">
        <color indexed="64"/>
      </top>
      <bottom style="dotted">
        <color indexed="64"/>
      </bottom>
      <diagonal/>
    </border>
    <border>
      <left style="thin">
        <color indexed="64"/>
      </left>
      <right style="thin">
        <color indexed="64"/>
      </right>
      <top style="medium">
        <color indexed="64"/>
      </top>
      <bottom style="dashed">
        <color indexed="64"/>
      </bottom>
      <diagonal/>
    </border>
    <border>
      <left/>
      <right/>
      <top style="medium">
        <color indexed="64"/>
      </top>
      <bottom style="dotted">
        <color indexed="64"/>
      </bottom>
      <diagonal/>
    </border>
    <border>
      <left style="thin">
        <color indexed="64"/>
      </left>
      <right/>
      <top style="medium">
        <color indexed="64"/>
      </top>
      <bottom style="dotted">
        <color indexed="64"/>
      </bottom>
      <diagonal/>
    </border>
    <border>
      <left style="thin">
        <color indexed="64"/>
      </left>
      <right style="medium">
        <color indexed="64"/>
      </right>
      <top/>
      <bottom style="dotted">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style="thin">
        <color indexed="64"/>
      </right>
      <top style="dotted">
        <color indexed="64"/>
      </top>
      <bottom style="thin">
        <color indexed="64"/>
      </bottom>
      <diagonal/>
    </border>
    <border>
      <left style="medium">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top/>
      <bottom style="dashed">
        <color theme="0" tint="-0.24994659260841701"/>
      </bottom>
      <diagonal/>
    </border>
    <border>
      <left/>
      <right/>
      <top/>
      <bottom style="thin">
        <color theme="0" tint="-0.249977111117893"/>
      </bottom>
      <diagonal/>
    </border>
    <border>
      <left/>
      <right/>
      <top style="thin">
        <color auto="1"/>
      </top>
      <bottom style="medium">
        <color auto="1"/>
      </bottom>
      <diagonal/>
    </border>
  </borders>
  <cellStyleXfs count="26">
    <xf numFmtId="0" fontId="0" fillId="0" borderId="0"/>
    <xf numFmtId="0" fontId="54" fillId="0" borderId="92" applyNumberFormat="0" applyFont="0" applyProtection="0">
      <alignment wrapText="1"/>
    </xf>
    <xf numFmtId="43" fontId="1" fillId="0" borderId="0" applyFont="0" applyFill="0" applyBorder="0" applyAlignment="0" applyProtection="0"/>
    <xf numFmtId="43" fontId="30" fillId="0" borderId="0" applyFont="0" applyFill="0" applyBorder="0" applyAlignment="0" applyProtection="0"/>
    <xf numFmtId="3" fontId="23" fillId="0" borderId="0" applyFont="0" applyFill="0" applyBorder="0" applyAlignment="0" applyProtection="0"/>
    <xf numFmtId="44" fontId="53" fillId="0" borderId="0" applyFont="0" applyFill="0" applyBorder="0" applyAlignment="0" applyProtection="0"/>
    <xf numFmtId="177" fontId="23" fillId="0" borderId="0" applyFont="0" applyFill="0" applyBorder="0" applyAlignment="0" applyProtection="0"/>
    <xf numFmtId="169" fontId="1" fillId="0" borderId="0" applyFont="0" applyFill="0" applyBorder="0" applyAlignment="0" applyProtection="0"/>
    <xf numFmtId="0" fontId="2" fillId="0" borderId="0" applyNumberFormat="0" applyFill="0" applyBorder="0" applyAlignment="0" applyProtection="0">
      <alignment vertical="top"/>
      <protection locked="0"/>
    </xf>
    <xf numFmtId="41"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5" fillId="0" borderId="0"/>
    <xf numFmtId="0" fontId="5" fillId="0" borderId="0"/>
    <xf numFmtId="0" fontId="53" fillId="0" borderId="0"/>
    <xf numFmtId="0" fontId="29" fillId="0" borderId="0"/>
    <xf numFmtId="0" fontId="55" fillId="0" borderId="93" applyNumberFormat="0" applyProtection="0">
      <alignment wrapText="1"/>
    </xf>
    <xf numFmtId="9" fontId="1" fillId="0" borderId="0" applyFont="0" applyFill="0" applyBorder="0" applyAlignment="0" applyProtection="0"/>
    <xf numFmtId="9" fontId="5" fillId="0" borderId="0" applyFont="0" applyFill="0" applyBorder="0" applyAlignment="0" applyProtection="0"/>
    <xf numFmtId="9" fontId="30" fillId="0" borderId="0" applyFont="0" applyFill="0" applyBorder="0" applyAlignment="0" applyProtection="0"/>
    <xf numFmtId="0" fontId="7" fillId="0" borderId="0">
      <alignment horizontal="right"/>
    </xf>
    <xf numFmtId="0" fontId="7" fillId="0" borderId="0">
      <alignment horizontal="left"/>
    </xf>
    <xf numFmtId="0" fontId="8" fillId="0" borderId="0">
      <alignment horizontal="left" vertical="top"/>
    </xf>
    <xf numFmtId="0" fontId="9" fillId="0" borderId="0">
      <alignment horizontal="left"/>
    </xf>
    <xf numFmtId="0" fontId="29" fillId="0" borderId="0"/>
  </cellStyleXfs>
  <cellXfs count="1380">
    <xf numFmtId="0" fontId="0" fillId="0" borderId="0" xfId="0"/>
    <xf numFmtId="0" fontId="3" fillId="0" borderId="0" xfId="0" applyFont="1"/>
    <xf numFmtId="0" fontId="0" fillId="0" borderId="0" xfId="0" applyFill="1"/>
    <xf numFmtId="0" fontId="0" fillId="0" borderId="1" xfId="0" applyBorder="1"/>
    <xf numFmtId="0" fontId="0" fillId="0" borderId="2" xfId="0" applyBorder="1"/>
    <xf numFmtId="3" fontId="0" fillId="0" borderId="2" xfId="0" applyNumberFormat="1" applyBorder="1"/>
    <xf numFmtId="0" fontId="0" fillId="0" borderId="3" xfId="0" applyBorder="1"/>
    <xf numFmtId="0" fontId="0" fillId="0" borderId="0" xfId="0" applyFill="1" applyBorder="1"/>
    <xf numFmtId="0" fontId="5" fillId="0" borderId="0" xfId="0" applyFont="1"/>
    <xf numFmtId="0" fontId="0" fillId="0" borderId="2" xfId="0" applyBorder="1" applyAlignment="1">
      <alignment horizontal="left"/>
    </xf>
    <xf numFmtId="0" fontId="0" fillId="2" borderId="0" xfId="0" applyFill="1"/>
    <xf numFmtId="0" fontId="14" fillId="2" borderId="0" xfId="0" applyFont="1" applyFill="1"/>
    <xf numFmtId="0" fontId="13" fillId="2" borderId="0" xfId="0" applyFont="1" applyFill="1"/>
    <xf numFmtId="0" fontId="3" fillId="2" borderId="0" xfId="0" applyFont="1" applyFill="1"/>
    <xf numFmtId="0" fontId="5" fillId="2" borderId="0" xfId="0" applyFont="1" applyFill="1"/>
    <xf numFmtId="0" fontId="11" fillId="2" borderId="0" xfId="0" quotePrefix="1" applyFont="1" applyFill="1"/>
    <xf numFmtId="0" fontId="11" fillId="2" borderId="0" xfId="0" applyFont="1" applyFill="1"/>
    <xf numFmtId="0" fontId="5" fillId="2" borderId="4" xfId="0" applyFont="1" applyFill="1" applyBorder="1"/>
    <xf numFmtId="0" fontId="0" fillId="2" borderId="5" xfId="0" applyFill="1" applyBorder="1"/>
    <xf numFmtId="0" fontId="0" fillId="2" borderId="6" xfId="0" applyFill="1" applyBorder="1"/>
    <xf numFmtId="0" fontId="3" fillId="3" borderId="7" xfId="0" applyFont="1" applyFill="1" applyBorder="1" applyAlignment="1">
      <alignment horizontal="center"/>
    </xf>
    <xf numFmtId="0" fontId="3" fillId="3" borderId="8" xfId="0" applyFont="1" applyFill="1" applyBorder="1" applyAlignment="1">
      <alignment horizontal="center"/>
    </xf>
    <xf numFmtId="0" fontId="3" fillId="3" borderId="9" xfId="0" applyFont="1" applyFill="1" applyBorder="1" applyAlignment="1">
      <alignment horizontal="center"/>
    </xf>
    <xf numFmtId="0" fontId="3" fillId="3" borderId="10" xfId="0" applyFont="1" applyFill="1" applyBorder="1" applyAlignment="1">
      <alignment horizontal="center"/>
    </xf>
    <xf numFmtId="0" fontId="3" fillId="3" borderId="11" xfId="0" applyFont="1" applyFill="1" applyBorder="1" applyAlignment="1">
      <alignment horizontal="center"/>
    </xf>
    <xf numFmtId="0" fontId="3" fillId="3" borderId="12" xfId="0" applyFont="1" applyFill="1" applyBorder="1" applyAlignment="1">
      <alignment horizontal="center"/>
    </xf>
    <xf numFmtId="0" fontId="0" fillId="0" borderId="0" xfId="0" applyAlignment="1">
      <alignment vertical="center"/>
    </xf>
    <xf numFmtId="0" fontId="0" fillId="0" borderId="0" xfId="0" applyBorder="1"/>
    <xf numFmtId="0" fontId="3" fillId="3" borderId="13" xfId="0" applyFont="1" applyFill="1" applyBorder="1" applyAlignment="1">
      <alignment horizontal="center"/>
    </xf>
    <xf numFmtId="0" fontId="3" fillId="3" borderId="14" xfId="0" applyFont="1" applyFill="1" applyBorder="1" applyAlignment="1">
      <alignment horizontal="center"/>
    </xf>
    <xf numFmtId="0" fontId="3" fillId="4" borderId="15" xfId="0" applyFont="1" applyFill="1" applyBorder="1"/>
    <xf numFmtId="4" fontId="3" fillId="4" borderId="16" xfId="0" applyNumberFormat="1" applyFont="1" applyFill="1" applyBorder="1"/>
    <xf numFmtId="4" fontId="3" fillId="4" borderId="17" xfId="0" applyNumberFormat="1" applyFont="1" applyFill="1" applyBorder="1"/>
    <xf numFmtId="0" fontId="3" fillId="4" borderId="18" xfId="0" applyFont="1" applyFill="1" applyBorder="1"/>
    <xf numFmtId="4" fontId="3" fillId="4" borderId="19" xfId="0" applyNumberFormat="1" applyFont="1" applyFill="1" applyBorder="1"/>
    <xf numFmtId="0" fontId="0" fillId="4" borderId="16" xfId="0" applyFill="1" applyBorder="1"/>
    <xf numFmtId="0" fontId="0" fillId="4" borderId="19" xfId="0" applyFill="1" applyBorder="1"/>
    <xf numFmtId="0" fontId="0" fillId="5" borderId="2" xfId="0" applyFill="1" applyBorder="1" applyProtection="1">
      <protection locked="0"/>
    </xf>
    <xf numFmtId="0" fontId="5" fillId="5" borderId="2" xfId="0" applyFont="1" applyFill="1" applyBorder="1" applyProtection="1">
      <protection locked="0"/>
    </xf>
    <xf numFmtId="0" fontId="3" fillId="3" borderId="20" xfId="0" applyFont="1" applyFill="1" applyBorder="1" applyAlignment="1">
      <alignment horizontal="center"/>
    </xf>
    <xf numFmtId="0" fontId="0" fillId="0" borderId="21" xfId="0" applyBorder="1" applyAlignment="1">
      <alignment horizontal="left"/>
    </xf>
    <xf numFmtId="1" fontId="0" fillId="0" borderId="21" xfId="0" applyNumberFormat="1" applyBorder="1"/>
    <xf numFmtId="9" fontId="0" fillId="0" borderId="21" xfId="0" applyNumberFormat="1" applyBorder="1"/>
    <xf numFmtId="1" fontId="0" fillId="0" borderId="2" xfId="0" applyNumberFormat="1" applyBorder="1"/>
    <xf numFmtId="9" fontId="0" fillId="0" borderId="2" xfId="0" applyNumberFormat="1" applyBorder="1"/>
    <xf numFmtId="0" fontId="0" fillId="0" borderId="22" xfId="0" applyBorder="1"/>
    <xf numFmtId="0" fontId="0" fillId="0" borderId="23" xfId="0" applyBorder="1"/>
    <xf numFmtId="0" fontId="0" fillId="3" borderId="24" xfId="0" applyFill="1" applyBorder="1"/>
    <xf numFmtId="0" fontId="0" fillId="3" borderId="25" xfId="0" applyFill="1" applyBorder="1"/>
    <xf numFmtId="10" fontId="0" fillId="3" borderId="25" xfId="0" applyNumberFormat="1" applyFill="1" applyBorder="1"/>
    <xf numFmtId="0" fontId="0" fillId="3" borderId="26" xfId="0" applyFill="1" applyBorder="1"/>
    <xf numFmtId="0" fontId="0" fillId="4" borderId="17" xfId="0" applyFill="1" applyBorder="1"/>
    <xf numFmtId="0" fontId="3" fillId="6" borderId="15" xfId="0" applyFont="1" applyFill="1" applyBorder="1"/>
    <xf numFmtId="4" fontId="3" fillId="6" borderId="16" xfId="0" applyNumberFormat="1" applyFont="1" applyFill="1" applyBorder="1"/>
    <xf numFmtId="0" fontId="3" fillId="6" borderId="18" xfId="0" applyFont="1" applyFill="1" applyBorder="1"/>
    <xf numFmtId="4" fontId="3" fillId="6" borderId="19" xfId="0" applyNumberFormat="1" applyFont="1" applyFill="1" applyBorder="1"/>
    <xf numFmtId="0" fontId="0" fillId="0" borderId="27" xfId="0" applyBorder="1"/>
    <xf numFmtId="0" fontId="0" fillId="3" borderId="28" xfId="0" applyFill="1" applyBorder="1"/>
    <xf numFmtId="0" fontId="0" fillId="3" borderId="29" xfId="0" applyFill="1" applyBorder="1"/>
    <xf numFmtId="3" fontId="0" fillId="3" borderId="30" xfId="0" applyNumberFormat="1" applyFill="1" applyBorder="1"/>
    <xf numFmtId="0" fontId="3" fillId="6" borderId="16" xfId="0" applyFont="1" applyFill="1" applyBorder="1"/>
    <xf numFmtId="0" fontId="3" fillId="6" borderId="19" xfId="0" applyFont="1" applyFill="1" applyBorder="1"/>
    <xf numFmtId="0" fontId="3" fillId="4" borderId="16" xfId="0" applyFont="1" applyFill="1" applyBorder="1"/>
    <xf numFmtId="0" fontId="3" fillId="4" borderId="19" xfId="0" applyFont="1" applyFill="1" applyBorder="1"/>
    <xf numFmtId="0" fontId="3" fillId="3" borderId="31" xfId="0" applyFont="1" applyFill="1" applyBorder="1" applyAlignment="1">
      <alignment horizontal="center"/>
    </xf>
    <xf numFmtId="0" fontId="3" fillId="3" borderId="17" xfId="0" applyFont="1" applyFill="1" applyBorder="1" applyAlignment="1">
      <alignment horizontal="center"/>
    </xf>
    <xf numFmtId="0" fontId="0" fillId="2" borderId="32" xfId="0" applyFill="1" applyBorder="1" applyAlignment="1">
      <alignment vertical="center"/>
    </xf>
    <xf numFmtId="0" fontId="0" fillId="2" borderId="33" xfId="0" applyFill="1" applyBorder="1" applyAlignment="1">
      <alignment vertical="center"/>
    </xf>
    <xf numFmtId="0" fontId="0" fillId="2" borderId="5" xfId="0" applyFill="1" applyBorder="1" applyAlignment="1">
      <alignment vertical="center"/>
    </xf>
    <xf numFmtId="0" fontId="0" fillId="2" borderId="34" xfId="0" applyFill="1" applyBorder="1"/>
    <xf numFmtId="3" fontId="0" fillId="2" borderId="35" xfId="0" applyNumberFormat="1" applyFill="1" applyBorder="1" applyAlignment="1">
      <alignment vertical="center"/>
    </xf>
    <xf numFmtId="3" fontId="0" fillId="2" borderId="2" xfId="0" applyNumberFormat="1" applyFill="1" applyBorder="1" applyAlignment="1">
      <alignment vertical="center"/>
    </xf>
    <xf numFmtId="0" fontId="0" fillId="2" borderId="4" xfId="0" applyFill="1" applyBorder="1" applyAlignment="1">
      <alignment vertical="center"/>
    </xf>
    <xf numFmtId="0" fontId="0" fillId="2" borderId="15" xfId="0" applyFill="1" applyBorder="1"/>
    <xf numFmtId="0" fontId="0" fillId="2" borderId="16" xfId="0" applyFill="1" applyBorder="1"/>
    <xf numFmtId="0" fontId="0" fillId="2" borderId="35" xfId="0" applyFill="1" applyBorder="1" applyAlignment="1">
      <alignment horizontal="left"/>
    </xf>
    <xf numFmtId="3" fontId="0" fillId="2" borderId="35" xfId="0" applyNumberFormat="1" applyFill="1" applyBorder="1"/>
    <xf numFmtId="0" fontId="0" fillId="2" borderId="37" xfId="0" applyFill="1" applyBorder="1"/>
    <xf numFmtId="0" fontId="0" fillId="2" borderId="0" xfId="0" applyFill="1" applyBorder="1"/>
    <xf numFmtId="0" fontId="0" fillId="2" borderId="2" xfId="0" applyFill="1" applyBorder="1" applyAlignment="1">
      <alignment horizontal="left"/>
    </xf>
    <xf numFmtId="3" fontId="0" fillId="2" borderId="2" xfId="0" applyNumberFormat="1" applyFill="1" applyBorder="1"/>
    <xf numFmtId="0" fontId="0" fillId="2" borderId="4" xfId="0" applyFill="1" applyBorder="1"/>
    <xf numFmtId="0" fontId="0" fillId="2" borderId="18" xfId="0" applyFill="1" applyBorder="1"/>
    <xf numFmtId="0" fontId="0" fillId="2" borderId="19" xfId="0" applyFill="1" applyBorder="1"/>
    <xf numFmtId="3" fontId="0" fillId="2" borderId="26" xfId="0" applyNumberFormat="1" applyFill="1" applyBorder="1"/>
    <xf numFmtId="0" fontId="0" fillId="2" borderId="39" xfId="0" applyFill="1" applyBorder="1" applyAlignment="1">
      <alignment vertical="center"/>
    </xf>
    <xf numFmtId="0" fontId="0" fillId="2" borderId="40" xfId="0" applyFill="1" applyBorder="1" applyAlignment="1">
      <alignment vertical="center"/>
    </xf>
    <xf numFmtId="0" fontId="0" fillId="2" borderId="6" xfId="0" applyFill="1" applyBorder="1" applyAlignment="1">
      <alignment vertical="center"/>
    </xf>
    <xf numFmtId="0" fontId="0" fillId="2" borderId="41" xfId="0" applyFill="1" applyBorder="1" applyAlignment="1">
      <alignment vertical="center"/>
    </xf>
    <xf numFmtId="0" fontId="0" fillId="2" borderId="42" xfId="0" applyFill="1" applyBorder="1" applyAlignment="1">
      <alignment vertical="center"/>
    </xf>
    <xf numFmtId="0" fontId="0" fillId="2" borderId="43" xfId="0" applyFill="1" applyBorder="1" applyAlignment="1">
      <alignment vertical="center"/>
    </xf>
    <xf numFmtId="0" fontId="0" fillId="2" borderId="44" xfId="0" applyFill="1" applyBorder="1" applyAlignment="1">
      <alignment vertical="center"/>
    </xf>
    <xf numFmtId="0" fontId="0" fillId="2" borderId="25" xfId="0" applyFill="1" applyBorder="1"/>
    <xf numFmtId="3" fontId="1" fillId="2" borderId="35" xfId="0" applyNumberFormat="1" applyFont="1" applyFill="1" applyBorder="1"/>
    <xf numFmtId="0" fontId="3" fillId="0" borderId="0" xfId="0" applyFont="1" applyFill="1" applyBorder="1" applyAlignment="1">
      <alignment horizontal="left"/>
    </xf>
    <xf numFmtId="0" fontId="0" fillId="2" borderId="0" xfId="0" applyFill="1" applyBorder="1" applyAlignment="1">
      <alignment horizontal="left"/>
    </xf>
    <xf numFmtId="3" fontId="0" fillId="2" borderId="0" xfId="0" applyNumberFormat="1" applyFill="1" applyBorder="1"/>
    <xf numFmtId="4" fontId="0" fillId="2" borderId="0" xfId="0" applyNumberFormat="1" applyFill="1" applyBorder="1" applyAlignment="1">
      <alignment horizontal="right"/>
    </xf>
    <xf numFmtId="0" fontId="5" fillId="5" borderId="1" xfId="0" applyFont="1" applyFill="1" applyBorder="1" applyProtection="1">
      <protection locked="0"/>
    </xf>
    <xf numFmtId="0" fontId="5" fillId="5" borderId="46" xfId="0" applyFont="1" applyFill="1" applyBorder="1" applyProtection="1">
      <protection locked="0"/>
    </xf>
    <xf numFmtId="0" fontId="5" fillId="5" borderId="26" xfId="0" applyFont="1" applyFill="1" applyBorder="1" applyProtection="1">
      <protection locked="0"/>
    </xf>
    <xf numFmtId="0" fontId="5" fillId="2" borderId="0" xfId="0" quotePrefix="1" applyFont="1" applyFill="1"/>
    <xf numFmtId="0" fontId="11" fillId="2" borderId="0" xfId="0" applyFont="1" applyFill="1" applyBorder="1"/>
    <xf numFmtId="0" fontId="12" fillId="2" borderId="0" xfId="0" applyFont="1" applyFill="1"/>
    <xf numFmtId="0" fontId="17" fillId="2" borderId="0" xfId="0" quotePrefix="1" applyFont="1" applyFill="1"/>
    <xf numFmtId="0" fontId="0" fillId="2" borderId="0" xfId="0" applyFill="1" applyAlignment="1">
      <alignment vertical="center"/>
    </xf>
    <xf numFmtId="4" fontId="0" fillId="2" borderId="0" xfId="0" applyNumberFormat="1" applyFill="1" applyBorder="1"/>
    <xf numFmtId="3" fontId="5" fillId="5" borderId="2" xfId="0" applyNumberFormat="1" applyFont="1" applyFill="1" applyBorder="1" applyProtection="1">
      <protection locked="0"/>
    </xf>
    <xf numFmtId="3" fontId="5" fillId="5" borderId="26" xfId="0" applyNumberFormat="1" applyFont="1" applyFill="1" applyBorder="1" applyProtection="1">
      <protection locked="0"/>
    </xf>
    <xf numFmtId="3" fontId="0" fillId="5" borderId="2" xfId="0" applyNumberFormat="1" applyFill="1" applyBorder="1" applyProtection="1">
      <protection locked="0"/>
    </xf>
    <xf numFmtId="0" fontId="3" fillId="3" borderId="47" xfId="0" applyFont="1" applyFill="1" applyBorder="1" applyAlignment="1">
      <alignment horizontal="center"/>
    </xf>
    <xf numFmtId="11" fontId="0" fillId="2" borderId="0" xfId="0" applyNumberFormat="1" applyFill="1" applyBorder="1"/>
    <xf numFmtId="0" fontId="17" fillId="2" borderId="0" xfId="0" applyFont="1" applyFill="1"/>
    <xf numFmtId="3" fontId="0" fillId="0" borderId="35" xfId="0" applyNumberFormat="1" applyBorder="1"/>
    <xf numFmtId="3" fontId="0" fillId="0" borderId="26" xfId="0" applyNumberFormat="1" applyBorder="1"/>
    <xf numFmtId="0" fontId="3" fillId="3" borderId="35" xfId="0" applyFont="1" applyFill="1" applyBorder="1" applyAlignment="1">
      <alignment horizontal="center"/>
    </xf>
    <xf numFmtId="0" fontId="3" fillId="3" borderId="23" xfId="0" applyFont="1" applyFill="1" applyBorder="1" applyAlignment="1">
      <alignment horizontal="center"/>
    </xf>
    <xf numFmtId="10" fontId="0" fillId="5" borderId="21" xfId="0" applyNumberFormat="1" applyFill="1" applyBorder="1" applyProtection="1">
      <protection locked="0"/>
    </xf>
    <xf numFmtId="10" fontId="0" fillId="5" borderId="2" xfId="0" applyNumberFormat="1" applyFill="1" applyBorder="1" applyProtection="1">
      <protection locked="0"/>
    </xf>
    <xf numFmtId="10" fontId="0" fillId="5" borderId="23" xfId="0" applyNumberFormat="1" applyFill="1" applyBorder="1" applyProtection="1">
      <protection locked="0"/>
    </xf>
    <xf numFmtId="0" fontId="5" fillId="5" borderId="6" xfId="0" applyFont="1" applyFill="1" applyBorder="1" applyProtection="1">
      <protection locked="0"/>
    </xf>
    <xf numFmtId="0" fontId="5" fillId="5" borderId="25" xfId="0" applyFont="1" applyFill="1" applyBorder="1" applyProtection="1">
      <protection locked="0"/>
    </xf>
    <xf numFmtId="0" fontId="0" fillId="2" borderId="0" xfId="0" quotePrefix="1" applyFill="1"/>
    <xf numFmtId="0" fontId="0" fillId="0" borderId="6" xfId="0" applyBorder="1"/>
    <xf numFmtId="167" fontId="0" fillId="5" borderId="35" xfId="0" applyNumberFormat="1" applyFill="1" applyBorder="1" applyProtection="1">
      <protection locked="0"/>
    </xf>
    <xf numFmtId="167" fontId="0" fillId="5" borderId="2" xfId="0" applyNumberFormat="1" applyFill="1" applyBorder="1" applyProtection="1">
      <protection locked="0"/>
    </xf>
    <xf numFmtId="167" fontId="0" fillId="5" borderId="26" xfId="0" applyNumberFormat="1" applyFill="1" applyBorder="1" applyProtection="1">
      <protection locked="0"/>
    </xf>
    <xf numFmtId="167" fontId="0" fillId="0" borderId="2" xfId="0" applyNumberFormat="1" applyBorder="1"/>
    <xf numFmtId="0" fontId="3" fillId="2" borderId="0" xfId="0" applyFont="1" applyFill="1" applyBorder="1"/>
    <xf numFmtId="0" fontId="5" fillId="2" borderId="0" xfId="0" applyFont="1" applyFill="1" applyBorder="1"/>
    <xf numFmtId="0" fontId="5" fillId="2" borderId="5" xfId="0" applyFont="1" applyFill="1" applyBorder="1"/>
    <xf numFmtId="0" fontId="5" fillId="3" borderId="4" xfId="0" applyFont="1" applyFill="1" applyBorder="1"/>
    <xf numFmtId="0" fontId="0" fillId="3" borderId="6" xfId="0" applyFill="1" applyBorder="1"/>
    <xf numFmtId="0" fontId="0" fillId="5" borderId="1" xfId="0" applyFill="1" applyBorder="1" applyProtection="1">
      <protection locked="0"/>
    </xf>
    <xf numFmtId="0" fontId="0" fillId="5" borderId="46" xfId="0" applyFill="1" applyBorder="1" applyProtection="1">
      <protection locked="0"/>
    </xf>
    <xf numFmtId="0" fontId="0" fillId="5" borderId="26" xfId="0" applyFill="1" applyBorder="1" applyProtection="1">
      <protection locked="0"/>
    </xf>
    <xf numFmtId="4" fontId="0" fillId="2" borderId="0" xfId="0" applyNumberFormat="1" applyFill="1"/>
    <xf numFmtId="0" fontId="3" fillId="3" borderId="48" xfId="0" applyFont="1" applyFill="1" applyBorder="1" applyAlignment="1">
      <alignment horizontal="center"/>
    </xf>
    <xf numFmtId="0" fontId="3" fillId="3" borderId="49" xfId="0" applyFont="1" applyFill="1" applyBorder="1" applyAlignment="1">
      <alignment horizontal="center"/>
    </xf>
    <xf numFmtId="3" fontId="0" fillId="5" borderId="23" xfId="0" applyNumberFormat="1" applyFill="1" applyBorder="1" applyProtection="1">
      <protection locked="0"/>
    </xf>
    <xf numFmtId="166" fontId="0" fillId="0" borderId="43" xfId="0" applyNumberFormat="1" applyBorder="1"/>
    <xf numFmtId="166" fontId="0" fillId="0" borderId="44" xfId="0" applyNumberFormat="1" applyBorder="1"/>
    <xf numFmtId="166" fontId="0" fillId="3" borderId="50" xfId="0" applyNumberFormat="1" applyFill="1" applyBorder="1"/>
    <xf numFmtId="167" fontId="0" fillId="2" borderId="44" xfId="0" applyNumberFormat="1" applyFill="1" applyBorder="1"/>
    <xf numFmtId="167" fontId="0" fillId="3" borderId="51" xfId="0" applyNumberFormat="1" applyFill="1" applyBorder="1"/>
    <xf numFmtId="167" fontId="0" fillId="0" borderId="42" xfId="0" applyNumberFormat="1" applyBorder="1"/>
    <xf numFmtId="167" fontId="0" fillId="0" borderId="44" xfId="0" applyNumberFormat="1" applyBorder="1"/>
    <xf numFmtId="167" fontId="0" fillId="0" borderId="50" xfId="0" applyNumberFormat="1" applyBorder="1"/>
    <xf numFmtId="167" fontId="0" fillId="0" borderId="23" xfId="0" applyNumberFormat="1" applyBorder="1"/>
    <xf numFmtId="167" fontId="0" fillId="3" borderId="30" xfId="0" applyNumberFormat="1" applyFill="1" applyBorder="1"/>
    <xf numFmtId="167" fontId="0" fillId="0" borderId="52" xfId="0" applyNumberFormat="1" applyBorder="1"/>
    <xf numFmtId="167" fontId="0" fillId="2" borderId="42" xfId="0" applyNumberFormat="1" applyFill="1" applyBorder="1" applyAlignment="1">
      <alignment horizontal="right"/>
    </xf>
    <xf numFmtId="167" fontId="0" fillId="2" borderId="44" xfId="0" applyNumberFormat="1" applyFill="1" applyBorder="1" applyAlignment="1">
      <alignment horizontal="right"/>
    </xf>
    <xf numFmtId="167" fontId="0" fillId="2" borderId="2" xfId="0" applyNumberFormat="1" applyFill="1" applyBorder="1" applyAlignment="1">
      <alignment horizontal="right"/>
    </xf>
    <xf numFmtId="167" fontId="0" fillId="2" borderId="26" xfId="0" applyNumberFormat="1" applyFill="1" applyBorder="1" applyAlignment="1">
      <alignment horizontal="right"/>
    </xf>
    <xf numFmtId="167" fontId="0" fillId="2" borderId="50" xfId="0" applyNumberFormat="1" applyFill="1" applyBorder="1" applyAlignment="1">
      <alignment horizontal="right"/>
    </xf>
    <xf numFmtId="167" fontId="0" fillId="2" borderId="35" xfId="0" applyNumberFormat="1" applyFill="1" applyBorder="1" applyAlignment="1">
      <alignment horizontal="right"/>
    </xf>
    <xf numFmtId="0" fontId="0" fillId="2" borderId="46" xfId="0" applyFill="1" applyBorder="1" applyAlignment="1">
      <alignment vertical="center"/>
    </xf>
    <xf numFmtId="0" fontId="0" fillId="2" borderId="26" xfId="0" applyFill="1" applyBorder="1" applyAlignment="1">
      <alignment vertical="center"/>
    </xf>
    <xf numFmtId="167" fontId="0" fillId="2" borderId="50" xfId="0" applyNumberFormat="1" applyFill="1" applyBorder="1"/>
    <xf numFmtId="0" fontId="3" fillId="3" borderId="45" xfId="0" applyFont="1" applyFill="1" applyBorder="1" applyAlignment="1">
      <alignment horizontal="center"/>
    </xf>
    <xf numFmtId="0" fontId="3" fillId="3" borderId="53" xfId="0" applyFont="1" applyFill="1" applyBorder="1" applyAlignment="1">
      <alignment horizontal="center"/>
    </xf>
    <xf numFmtId="0" fontId="3" fillId="3" borderId="54" xfId="0" applyFont="1" applyFill="1" applyBorder="1" applyAlignment="1">
      <alignment horizontal="center"/>
    </xf>
    <xf numFmtId="0" fontId="5" fillId="2" borderId="55" xfId="0" applyFont="1" applyFill="1" applyBorder="1"/>
    <xf numFmtId="3" fontId="5" fillId="2" borderId="40" xfId="0" applyNumberFormat="1" applyFont="1" applyFill="1" applyBorder="1"/>
    <xf numFmtId="0" fontId="0" fillId="2" borderId="2" xfId="0" applyFill="1" applyBorder="1"/>
    <xf numFmtId="167" fontId="5" fillId="2" borderId="40" xfId="0" applyNumberFormat="1" applyFont="1" applyFill="1" applyBorder="1"/>
    <xf numFmtId="0" fontId="5" fillId="3" borderId="28" xfId="0" applyFont="1" applyFill="1" applyBorder="1"/>
    <xf numFmtId="0" fontId="5" fillId="3" borderId="29" xfId="0" applyFont="1" applyFill="1" applyBorder="1"/>
    <xf numFmtId="3" fontId="5" fillId="3" borderId="56" xfId="0" applyNumberFormat="1" applyFont="1" applyFill="1" applyBorder="1"/>
    <xf numFmtId="0" fontId="5" fillId="2" borderId="27" xfId="0" applyFont="1" applyFill="1" applyBorder="1"/>
    <xf numFmtId="0" fontId="5" fillId="2" borderId="36" xfId="0" applyFont="1" applyFill="1" applyBorder="1"/>
    <xf numFmtId="3" fontId="5" fillId="2" borderId="41" xfId="0" applyNumberFormat="1" applyFont="1" applyFill="1" applyBorder="1"/>
    <xf numFmtId="167" fontId="5" fillId="2" borderId="41" xfId="0" applyNumberFormat="1" applyFont="1" applyFill="1" applyBorder="1"/>
    <xf numFmtId="0" fontId="5" fillId="2" borderId="3" xfId="0" applyFont="1" applyFill="1" applyBorder="1"/>
    <xf numFmtId="0" fontId="5" fillId="2" borderId="10" xfId="0" applyFont="1" applyFill="1" applyBorder="1"/>
    <xf numFmtId="0" fontId="5" fillId="2" borderId="49" xfId="0" applyFont="1" applyFill="1" applyBorder="1"/>
    <xf numFmtId="3" fontId="5" fillId="2" borderId="31" xfId="0" applyNumberFormat="1" applyFont="1" applyFill="1" applyBorder="1"/>
    <xf numFmtId="0" fontId="0" fillId="6" borderId="17" xfId="0" applyFill="1" applyBorder="1"/>
    <xf numFmtId="3" fontId="0" fillId="0" borderId="2" xfId="0" applyNumberFormat="1" applyFill="1" applyBorder="1"/>
    <xf numFmtId="166" fontId="0" fillId="0" borderId="0" xfId="0" applyNumberFormat="1"/>
    <xf numFmtId="3" fontId="5" fillId="5" borderId="44" xfId="0" applyNumberFormat="1" applyFont="1" applyFill="1" applyBorder="1" applyProtection="1">
      <protection locked="0"/>
    </xf>
    <xf numFmtId="3" fontId="5" fillId="5" borderId="50" xfId="0" applyNumberFormat="1" applyFont="1" applyFill="1" applyBorder="1" applyProtection="1">
      <protection locked="0"/>
    </xf>
    <xf numFmtId="0" fontId="3" fillId="3" borderId="57" xfId="0" applyFont="1" applyFill="1" applyBorder="1" applyAlignment="1">
      <alignment horizontal="center"/>
    </xf>
    <xf numFmtId="3" fontId="0" fillId="5" borderId="26" xfId="0" applyNumberFormat="1" applyFill="1" applyBorder="1" applyProtection="1">
      <protection locked="0"/>
    </xf>
    <xf numFmtId="0" fontId="0" fillId="5" borderId="22" xfId="0" applyFill="1" applyBorder="1" applyProtection="1">
      <protection locked="0"/>
    </xf>
    <xf numFmtId="3" fontId="0" fillId="0" borderId="23" xfId="0" applyNumberFormat="1" applyBorder="1"/>
    <xf numFmtId="0" fontId="0" fillId="3" borderId="56" xfId="0" applyFill="1" applyBorder="1"/>
    <xf numFmtId="0" fontId="0" fillId="5" borderId="4" xfId="0" applyFill="1" applyBorder="1" applyProtection="1">
      <protection locked="0"/>
    </xf>
    <xf numFmtId="0" fontId="0" fillId="5" borderId="6" xfId="0" applyFill="1" applyBorder="1" applyProtection="1">
      <protection locked="0"/>
    </xf>
    <xf numFmtId="0" fontId="0" fillId="5" borderId="58" xfId="0" applyFill="1" applyBorder="1" applyProtection="1">
      <protection locked="0"/>
    </xf>
    <xf numFmtId="167" fontId="0" fillId="2" borderId="0" xfId="0" applyNumberFormat="1" applyFill="1" applyBorder="1"/>
    <xf numFmtId="3" fontId="0" fillId="3" borderId="29" xfId="0" applyNumberFormat="1" applyFill="1" applyBorder="1"/>
    <xf numFmtId="3" fontId="0" fillId="0" borderId="26" xfId="0" applyNumberFormat="1" applyFill="1" applyBorder="1"/>
    <xf numFmtId="0" fontId="5" fillId="2" borderId="2" xfId="0" applyFont="1" applyFill="1" applyBorder="1" applyAlignment="1">
      <alignment horizontal="right"/>
    </xf>
    <xf numFmtId="0" fontId="5" fillId="2" borderId="0" xfId="0" applyFont="1" applyFill="1" applyAlignment="1">
      <alignment horizontal="right"/>
    </xf>
    <xf numFmtId="0" fontId="5" fillId="2" borderId="1" xfId="0" applyFont="1" applyFill="1" applyBorder="1"/>
    <xf numFmtId="0" fontId="0" fillId="2" borderId="38" xfId="0" applyFill="1" applyBorder="1" applyAlignment="1">
      <alignment vertical="center"/>
    </xf>
    <xf numFmtId="0" fontId="0" fillId="2" borderId="25" xfId="0" applyFill="1" applyBorder="1" applyAlignment="1">
      <alignment vertical="center"/>
    </xf>
    <xf numFmtId="0" fontId="3" fillId="0" borderId="0" xfId="0" applyFont="1" applyFill="1" applyBorder="1" applyAlignment="1">
      <alignment horizontal="center"/>
    </xf>
    <xf numFmtId="3" fontId="0" fillId="0" borderId="2" xfId="0" applyNumberFormat="1" applyFill="1" applyBorder="1" applyAlignment="1">
      <alignment vertical="center"/>
    </xf>
    <xf numFmtId="0" fontId="5" fillId="0" borderId="0" xfId="0" applyFont="1" applyFill="1"/>
    <xf numFmtId="0" fontId="0" fillId="2" borderId="59" xfId="0" applyFill="1" applyBorder="1" applyAlignment="1">
      <alignment vertical="center"/>
    </xf>
    <xf numFmtId="3" fontId="0" fillId="2" borderId="21" xfId="0" applyNumberFormat="1" applyFill="1" applyBorder="1" applyAlignment="1">
      <alignment vertical="center"/>
    </xf>
    <xf numFmtId="0" fontId="0" fillId="2" borderId="55" xfId="0" applyFill="1" applyBorder="1" applyAlignment="1">
      <alignment vertical="center"/>
    </xf>
    <xf numFmtId="167" fontId="0" fillId="2" borderId="43" xfId="0" applyNumberFormat="1" applyFill="1" applyBorder="1"/>
    <xf numFmtId="3" fontId="0" fillId="2" borderId="21" xfId="0" applyNumberFormat="1" applyFill="1" applyBorder="1"/>
    <xf numFmtId="167" fontId="0" fillId="2" borderId="43" xfId="0" applyNumberFormat="1" applyFill="1" applyBorder="1" applyAlignment="1">
      <alignment horizontal="right"/>
    </xf>
    <xf numFmtId="0" fontId="5" fillId="0" borderId="44" xfId="0" applyFont="1" applyBorder="1"/>
    <xf numFmtId="0" fontId="5" fillId="0" borderId="50" xfId="0" applyFont="1" applyBorder="1"/>
    <xf numFmtId="167" fontId="0" fillId="2" borderId="21" xfId="0" applyNumberFormat="1" applyFill="1" applyBorder="1" applyAlignment="1">
      <alignment horizontal="right"/>
    </xf>
    <xf numFmtId="3" fontId="0" fillId="2" borderId="11" xfId="0" applyNumberFormat="1" applyFill="1" applyBorder="1"/>
    <xf numFmtId="167" fontId="0" fillId="0" borderId="60" xfId="0" applyNumberFormat="1" applyBorder="1"/>
    <xf numFmtId="0" fontId="0" fillId="5" borderId="25" xfId="0" applyFill="1" applyBorder="1" applyProtection="1">
      <protection locked="0"/>
    </xf>
    <xf numFmtId="0" fontId="5" fillId="5" borderId="4" xfId="0" applyFont="1" applyFill="1" applyBorder="1" applyAlignment="1" applyProtection="1">
      <protection locked="0"/>
    </xf>
    <xf numFmtId="0" fontId="5" fillId="0" borderId="0" xfId="0" applyFont="1" applyFill="1" applyBorder="1" applyAlignment="1">
      <alignment horizontal="left"/>
    </xf>
    <xf numFmtId="0" fontId="5" fillId="2" borderId="21" xfId="0" applyFont="1" applyFill="1" applyBorder="1"/>
    <xf numFmtId="0" fontId="5" fillId="2" borderId="2" xfId="0" applyFont="1" applyFill="1" applyBorder="1"/>
    <xf numFmtId="3" fontId="0" fillId="5" borderId="58" xfId="0" applyNumberFormat="1" applyFill="1" applyBorder="1" applyProtection="1">
      <protection locked="0"/>
    </xf>
    <xf numFmtId="3" fontId="0" fillId="5" borderId="38" xfId="0" applyNumberFormat="1" applyFill="1" applyBorder="1" applyProtection="1">
      <protection locked="0"/>
    </xf>
    <xf numFmtId="167" fontId="0" fillId="2" borderId="2" xfId="0" applyNumberFormat="1" applyFill="1" applyBorder="1"/>
    <xf numFmtId="0" fontId="0" fillId="3" borderId="29" xfId="0" applyFill="1" applyBorder="1" applyAlignment="1"/>
    <xf numFmtId="0" fontId="5" fillId="5" borderId="38" xfId="0" applyFont="1" applyFill="1" applyBorder="1" applyAlignment="1" applyProtection="1">
      <protection locked="0"/>
    </xf>
    <xf numFmtId="167" fontId="0" fillId="2" borderId="26" xfId="0" applyNumberFormat="1" applyFill="1" applyBorder="1"/>
    <xf numFmtId="167" fontId="3" fillId="4" borderId="54" xfId="0" applyNumberFormat="1" applyFont="1" applyFill="1" applyBorder="1"/>
    <xf numFmtId="167" fontId="0" fillId="6" borderId="17" xfId="0" applyNumberFormat="1" applyFill="1" applyBorder="1"/>
    <xf numFmtId="167" fontId="3" fillId="6" borderId="54" xfId="0" applyNumberFormat="1" applyFont="1" applyFill="1" applyBorder="1"/>
    <xf numFmtId="0" fontId="5" fillId="0" borderId="2" xfId="0" applyFont="1" applyBorder="1" applyProtection="1"/>
    <xf numFmtId="0" fontId="5" fillId="0" borderId="26" xfId="0" applyFont="1" applyBorder="1" applyProtection="1"/>
    <xf numFmtId="0" fontId="3" fillId="7" borderId="0" xfId="0" applyFont="1" applyFill="1"/>
    <xf numFmtId="0" fontId="0" fillId="7" borderId="0" xfId="0" applyFill="1"/>
    <xf numFmtId="167" fontId="3" fillId="4" borderId="54" xfId="0" applyNumberFormat="1" applyFont="1" applyFill="1" applyBorder="1" applyProtection="1"/>
    <xf numFmtId="4" fontId="0" fillId="7" borderId="0" xfId="0" applyNumberFormat="1" applyFill="1"/>
    <xf numFmtId="166" fontId="0" fillId="7" borderId="0" xfId="0" applyNumberFormat="1" applyFill="1"/>
    <xf numFmtId="0" fontId="0" fillId="0" borderId="4" xfId="0" applyBorder="1"/>
    <xf numFmtId="167" fontId="0" fillId="0" borderId="21" xfId="0" applyNumberFormat="1" applyBorder="1"/>
    <xf numFmtId="3" fontId="5" fillId="2" borderId="2" xfId="0" applyNumberFormat="1" applyFont="1" applyFill="1" applyBorder="1" applyAlignment="1">
      <alignment horizontal="right"/>
    </xf>
    <xf numFmtId="3" fontId="5" fillId="2" borderId="21" xfId="0" applyNumberFormat="1" applyFont="1" applyFill="1" applyBorder="1" applyAlignment="1">
      <alignment horizontal="right"/>
    </xf>
    <xf numFmtId="0" fontId="5" fillId="2" borderId="21" xfId="0" applyFont="1" applyFill="1" applyBorder="1" applyAlignment="1">
      <alignment horizontal="right"/>
    </xf>
    <xf numFmtId="0" fontId="0" fillId="5" borderId="3" xfId="0" applyFill="1" applyBorder="1" applyProtection="1">
      <protection locked="0"/>
    </xf>
    <xf numFmtId="0" fontId="0" fillId="5" borderId="21" xfId="0" applyFill="1" applyBorder="1" applyProtection="1">
      <protection locked="0"/>
    </xf>
    <xf numFmtId="0" fontId="0" fillId="5" borderId="55" xfId="0" applyFill="1" applyBorder="1" applyProtection="1">
      <protection locked="0"/>
    </xf>
    <xf numFmtId="3" fontId="0" fillId="5" borderId="21" xfId="0" applyNumberFormat="1" applyFill="1" applyBorder="1" applyProtection="1">
      <protection locked="0"/>
    </xf>
    <xf numFmtId="167" fontId="0" fillId="0" borderId="43" xfId="0" applyNumberFormat="1" applyBorder="1"/>
    <xf numFmtId="3" fontId="0" fillId="5" borderId="40" xfId="0" applyNumberFormat="1" applyFill="1" applyBorder="1" applyProtection="1">
      <protection locked="0"/>
    </xf>
    <xf numFmtId="0" fontId="0" fillId="5" borderId="39" xfId="0" applyFill="1" applyBorder="1" applyProtection="1">
      <protection locked="0"/>
    </xf>
    <xf numFmtId="0" fontId="0" fillId="5" borderId="40" xfId="0" applyFill="1" applyBorder="1" applyProtection="1">
      <protection locked="0"/>
    </xf>
    <xf numFmtId="0" fontId="5" fillId="5" borderId="55" xfId="0" applyFont="1" applyFill="1" applyBorder="1" applyAlignment="1" applyProtection="1">
      <protection locked="0"/>
    </xf>
    <xf numFmtId="3" fontId="0" fillId="5" borderId="45" xfId="0" applyNumberFormat="1" applyFill="1" applyBorder="1" applyProtection="1">
      <protection locked="0"/>
    </xf>
    <xf numFmtId="167" fontId="0" fillId="5" borderId="21" xfId="0" applyNumberFormat="1" applyFill="1" applyBorder="1" applyProtection="1">
      <protection locked="0"/>
    </xf>
    <xf numFmtId="0" fontId="5" fillId="5" borderId="3" xfId="0" applyFont="1" applyFill="1" applyBorder="1" applyProtection="1">
      <protection locked="0"/>
    </xf>
    <xf numFmtId="0" fontId="5" fillId="5" borderId="21" xfId="0" applyFont="1" applyFill="1" applyBorder="1" applyProtection="1">
      <protection locked="0"/>
    </xf>
    <xf numFmtId="3" fontId="5" fillId="5" borderId="21" xfId="0" applyNumberFormat="1" applyFont="1" applyFill="1" applyBorder="1" applyProtection="1">
      <protection locked="0"/>
    </xf>
    <xf numFmtId="0" fontId="5" fillId="2" borderId="33" xfId="0" applyFont="1" applyFill="1" applyBorder="1" applyAlignment="1">
      <alignment vertical="center"/>
    </xf>
    <xf numFmtId="0" fontId="5" fillId="5" borderId="11" xfId="0" applyFont="1" applyFill="1" applyBorder="1" applyProtection="1">
      <protection locked="0"/>
    </xf>
    <xf numFmtId="0" fontId="0" fillId="5" borderId="11" xfId="0" applyFill="1" applyBorder="1" applyProtection="1">
      <protection locked="0"/>
    </xf>
    <xf numFmtId="0" fontId="14" fillId="7" borderId="0" xfId="0" applyFont="1" applyFill="1"/>
    <xf numFmtId="0" fontId="5" fillId="7" borderId="0" xfId="0" applyFont="1" applyFill="1"/>
    <xf numFmtId="0" fontId="3" fillId="7" borderId="61" xfId="0" applyFont="1" applyFill="1" applyBorder="1"/>
    <xf numFmtId="0" fontId="3" fillId="7" borderId="30" xfId="0" applyFont="1" applyFill="1" applyBorder="1"/>
    <xf numFmtId="0" fontId="5" fillId="7" borderId="0" xfId="0" applyFont="1" applyFill="1" applyBorder="1"/>
    <xf numFmtId="167" fontId="5" fillId="2" borderId="62" xfId="0" applyNumberFormat="1" applyFont="1" applyFill="1" applyBorder="1"/>
    <xf numFmtId="167" fontId="5" fillId="2" borderId="63" xfId="0" applyNumberFormat="1" applyFont="1" applyFill="1" applyBorder="1"/>
    <xf numFmtId="0" fontId="5" fillId="0" borderId="2" xfId="0" applyFont="1" applyBorder="1"/>
    <xf numFmtId="167" fontId="0" fillId="2" borderId="44" xfId="0" applyNumberFormat="1" applyFill="1" applyBorder="1" applyAlignment="1"/>
    <xf numFmtId="0" fontId="3" fillId="3" borderId="30" xfId="0" applyFont="1" applyFill="1" applyBorder="1" applyAlignment="1">
      <alignment horizontal="center"/>
    </xf>
    <xf numFmtId="0" fontId="3" fillId="3" borderId="51" xfId="0" applyFont="1" applyFill="1" applyBorder="1" applyAlignment="1">
      <alignment horizontal="center"/>
    </xf>
    <xf numFmtId="0" fontId="5" fillId="0" borderId="0" xfId="0" applyFont="1" applyBorder="1"/>
    <xf numFmtId="0" fontId="0" fillId="0" borderId="35" xfId="0" applyBorder="1"/>
    <xf numFmtId="3" fontId="1" fillId="2" borderId="2" xfId="0" applyNumberFormat="1" applyFont="1" applyFill="1" applyBorder="1"/>
    <xf numFmtId="0" fontId="0" fillId="2" borderId="35" xfId="0" applyFill="1" applyBorder="1"/>
    <xf numFmtId="0" fontId="0" fillId="2" borderId="26" xfId="0" applyFill="1" applyBorder="1"/>
    <xf numFmtId="3" fontId="1" fillId="2" borderId="26" xfId="0" applyNumberFormat="1" applyFont="1" applyFill="1" applyBorder="1"/>
    <xf numFmtId="3" fontId="5" fillId="0" borderId="2" xfId="0" applyNumberFormat="1" applyFont="1" applyFill="1" applyBorder="1"/>
    <xf numFmtId="0" fontId="3" fillId="3" borderId="30" xfId="0" applyFont="1" applyFill="1" applyBorder="1" applyAlignment="1">
      <alignment horizontal="center" wrapText="1"/>
    </xf>
    <xf numFmtId="0" fontId="3" fillId="3" borderId="51" xfId="0" applyFont="1" applyFill="1" applyBorder="1" applyAlignment="1">
      <alignment horizontal="center" wrapText="1"/>
    </xf>
    <xf numFmtId="0" fontId="5" fillId="0" borderId="0" xfId="0" applyFont="1" applyFill="1" applyBorder="1"/>
    <xf numFmtId="165" fontId="0" fillId="2" borderId="0" xfId="0" applyNumberFormat="1" applyFill="1"/>
    <xf numFmtId="0" fontId="0" fillId="3" borderId="19" xfId="0" applyFill="1" applyBorder="1"/>
    <xf numFmtId="0" fontId="17" fillId="2" borderId="0" xfId="0" quotePrefix="1" applyFont="1" applyFill="1" applyAlignment="1">
      <alignment horizontal="left" indent="1"/>
    </xf>
    <xf numFmtId="167" fontId="0" fillId="0" borderId="26" xfId="0" applyNumberFormat="1" applyBorder="1"/>
    <xf numFmtId="0" fontId="5" fillId="0" borderId="1" xfId="0" applyFont="1" applyFill="1" applyBorder="1"/>
    <xf numFmtId="0" fontId="5" fillId="0" borderId="46" xfId="0" applyFont="1" applyFill="1" applyBorder="1"/>
    <xf numFmtId="0" fontId="11" fillId="7" borderId="0" xfId="0" quotePrefix="1" applyFont="1" applyFill="1"/>
    <xf numFmtId="0" fontId="5" fillId="7" borderId="0" xfId="0" applyFont="1" applyFill="1" applyAlignment="1">
      <alignment horizontal="left"/>
    </xf>
    <xf numFmtId="166" fontId="0" fillId="0" borderId="2" xfId="0" applyNumberFormat="1" applyBorder="1"/>
    <xf numFmtId="0" fontId="5" fillId="0" borderId="21" xfId="0" applyFont="1" applyBorder="1"/>
    <xf numFmtId="0" fontId="0" fillId="2" borderId="42" xfId="0" applyFill="1" applyBorder="1"/>
    <xf numFmtId="0" fontId="0" fillId="2" borderId="44" xfId="0" applyFill="1" applyBorder="1"/>
    <xf numFmtId="0" fontId="0" fillId="2" borderId="50" xfId="0" applyFill="1" applyBorder="1"/>
    <xf numFmtId="0" fontId="0" fillId="2" borderId="27" xfId="0" applyFill="1" applyBorder="1" applyAlignment="1">
      <alignment vertical="center"/>
    </xf>
    <xf numFmtId="0" fontId="5" fillId="2" borderId="42" xfId="0" applyFont="1" applyFill="1" applyBorder="1"/>
    <xf numFmtId="0" fontId="0" fillId="2" borderId="1" xfId="0" applyFill="1" applyBorder="1" applyAlignment="1">
      <alignment vertical="center"/>
    </xf>
    <xf numFmtId="0" fontId="5" fillId="2" borderId="44" xfId="0" applyFont="1" applyFill="1" applyBorder="1"/>
    <xf numFmtId="0" fontId="3" fillId="3" borderId="7" xfId="0" applyFont="1" applyFill="1" applyBorder="1" applyAlignment="1">
      <alignment horizontal="center" wrapText="1"/>
    </xf>
    <xf numFmtId="0" fontId="3" fillId="3" borderId="9" xfId="0" applyFont="1" applyFill="1" applyBorder="1" applyAlignment="1">
      <alignment horizontal="center" wrapText="1"/>
    </xf>
    <xf numFmtId="0" fontId="0" fillId="0" borderId="36" xfId="0" applyBorder="1"/>
    <xf numFmtId="0" fontId="0" fillId="5" borderId="65" xfId="0" applyFill="1" applyBorder="1" applyAlignment="1" applyProtection="1">
      <protection locked="0"/>
    </xf>
    <xf numFmtId="0" fontId="0" fillId="5" borderId="2" xfId="0" applyFill="1" applyBorder="1" applyAlignment="1" applyProtection="1">
      <protection locked="0"/>
    </xf>
    <xf numFmtId="0" fontId="0" fillId="5" borderId="21" xfId="0" applyFill="1" applyBorder="1" applyAlignment="1" applyProtection="1">
      <protection locked="0"/>
    </xf>
    <xf numFmtId="0" fontId="0" fillId="0" borderId="0" xfId="0" applyFont="1" applyFill="1" applyBorder="1"/>
    <xf numFmtId="0" fontId="5" fillId="3" borderId="18" xfId="0" applyFont="1" applyFill="1" applyBorder="1"/>
    <xf numFmtId="0" fontId="0" fillId="3" borderId="31" xfId="0" applyFill="1" applyBorder="1"/>
    <xf numFmtId="3" fontId="0" fillId="3" borderId="11" xfId="0" applyNumberFormat="1" applyFill="1" applyBorder="1"/>
    <xf numFmtId="167" fontId="0" fillId="3" borderId="11" xfId="0" applyNumberFormat="1" applyFill="1" applyBorder="1"/>
    <xf numFmtId="167" fontId="0" fillId="3" borderId="12" xfId="0" applyNumberFormat="1" applyFill="1" applyBorder="1"/>
    <xf numFmtId="0" fontId="0" fillId="5" borderId="26" xfId="0" applyFill="1" applyBorder="1" applyAlignment="1" applyProtection="1">
      <protection locked="0"/>
    </xf>
    <xf numFmtId="0" fontId="5" fillId="7" borderId="0" xfId="0" quotePrefix="1" applyFont="1" applyFill="1"/>
    <xf numFmtId="0" fontId="5" fillId="7" borderId="0" xfId="0" applyFont="1" applyFill="1" applyAlignment="1">
      <alignment horizontal="left" vertical="top" wrapText="1" indent="1"/>
    </xf>
    <xf numFmtId="0" fontId="5" fillId="7" borderId="0" xfId="0" quotePrefix="1" applyFont="1" applyFill="1" applyAlignment="1">
      <alignment horizontal="left" indent="1"/>
    </xf>
    <xf numFmtId="0" fontId="0" fillId="8" borderId="19" xfId="0" applyFill="1" applyBorder="1"/>
    <xf numFmtId="0" fontId="3" fillId="3" borderId="33" xfId="0" applyFont="1" applyFill="1" applyBorder="1" applyAlignment="1">
      <alignment vertical="center"/>
    </xf>
    <xf numFmtId="0" fontId="3" fillId="3" borderId="6" xfId="0" applyFont="1" applyFill="1" applyBorder="1" applyAlignment="1">
      <alignment vertical="center"/>
    </xf>
    <xf numFmtId="167" fontId="3" fillId="3" borderId="6" xfId="0" applyNumberFormat="1" applyFont="1" applyFill="1" applyBorder="1" applyAlignment="1">
      <alignment vertical="center"/>
    </xf>
    <xf numFmtId="167" fontId="3" fillId="3" borderId="60" xfId="0" applyNumberFormat="1" applyFont="1" applyFill="1" applyBorder="1" applyAlignment="1">
      <alignment vertical="center"/>
    </xf>
    <xf numFmtId="0" fontId="3" fillId="3" borderId="61" xfId="0" applyFont="1" applyFill="1" applyBorder="1"/>
    <xf numFmtId="0" fontId="3" fillId="3" borderId="29" xfId="0" applyFont="1" applyFill="1" applyBorder="1"/>
    <xf numFmtId="167" fontId="3" fillId="3" borderId="30" xfId="0" applyNumberFormat="1" applyFont="1" applyFill="1" applyBorder="1"/>
    <xf numFmtId="167" fontId="3" fillId="3" borderId="51" xfId="0" applyNumberFormat="1" applyFont="1" applyFill="1" applyBorder="1"/>
    <xf numFmtId="0" fontId="0" fillId="8" borderId="0" xfId="0" applyFill="1" applyBorder="1"/>
    <xf numFmtId="0" fontId="11" fillId="8" borderId="0" xfId="0" applyFont="1" applyFill="1" applyBorder="1"/>
    <xf numFmtId="0" fontId="0" fillId="9" borderId="0" xfId="0" applyFill="1" applyBorder="1"/>
    <xf numFmtId="3" fontId="0" fillId="9" borderId="0" xfId="0" applyNumberFormat="1" applyFill="1" applyBorder="1"/>
    <xf numFmtId="167" fontId="0" fillId="9" borderId="0" xfId="0" applyNumberFormat="1" applyFill="1" applyBorder="1"/>
    <xf numFmtId="0" fontId="0" fillId="7" borderId="0" xfId="0" applyFill="1" applyBorder="1"/>
    <xf numFmtId="0" fontId="0" fillId="7" borderId="0" xfId="0" applyFill="1" applyBorder="1" applyAlignment="1"/>
    <xf numFmtId="3" fontId="0" fillId="7" borderId="0" xfId="0" applyNumberFormat="1" applyFill="1" applyBorder="1"/>
    <xf numFmtId="167" fontId="0" fillId="7" borderId="0" xfId="0" applyNumberFormat="1" applyFill="1" applyBorder="1"/>
    <xf numFmtId="0" fontId="11" fillId="7" borderId="0" xfId="0" quotePrefix="1" applyFont="1" applyFill="1" applyAlignment="1">
      <alignment horizontal="left"/>
    </xf>
    <xf numFmtId="0" fontId="5" fillId="2" borderId="0" xfId="0" quotePrefix="1" applyFont="1" applyFill="1" applyAlignment="1">
      <alignment horizontal="left" indent="3"/>
    </xf>
    <xf numFmtId="0" fontId="5" fillId="0" borderId="0" xfId="0" quotePrefix="1" applyFont="1" applyFill="1" applyAlignment="1">
      <alignment horizontal="left" indent="3"/>
    </xf>
    <xf numFmtId="0" fontId="0" fillId="8" borderId="0" xfId="0" applyFill="1"/>
    <xf numFmtId="0" fontId="0" fillId="7" borderId="0" xfId="0" applyFill="1" applyBorder="1" applyProtection="1">
      <protection locked="0"/>
    </xf>
    <xf numFmtId="1" fontId="0" fillId="7" borderId="0" xfId="0" applyNumberFormat="1" applyFill="1" applyBorder="1" applyProtection="1">
      <protection locked="0"/>
    </xf>
    <xf numFmtId="3" fontId="0" fillId="7" borderId="0" xfId="0" applyNumberFormat="1" applyFill="1" applyBorder="1" applyProtection="1">
      <protection locked="0"/>
    </xf>
    <xf numFmtId="2" fontId="0" fillId="7" borderId="0" xfId="0" applyNumberFormat="1" applyFill="1" applyBorder="1" applyProtection="1">
      <protection locked="0"/>
    </xf>
    <xf numFmtId="0" fontId="19" fillId="7" borderId="0" xfId="0" quotePrefix="1" applyFont="1" applyFill="1" applyAlignment="1">
      <alignment horizontal="left" indent="1"/>
    </xf>
    <xf numFmtId="0" fontId="5" fillId="7" borderId="0" xfId="0" applyFont="1" applyFill="1" applyAlignment="1">
      <alignment horizontal="left" vertical="top" indent="5"/>
    </xf>
    <xf numFmtId="0" fontId="56" fillId="7" borderId="66" xfId="0" applyFont="1" applyFill="1" applyBorder="1" applyProtection="1"/>
    <xf numFmtId="0" fontId="56" fillId="7" borderId="67" xfId="0" applyFont="1" applyFill="1" applyBorder="1" applyProtection="1"/>
    <xf numFmtId="3" fontId="56" fillId="7" borderId="67" xfId="0" applyNumberFormat="1" applyFont="1" applyFill="1" applyBorder="1" applyProtection="1"/>
    <xf numFmtId="0" fontId="0" fillId="9" borderId="0" xfId="0" applyFill="1"/>
    <xf numFmtId="0" fontId="0" fillId="9" borderId="17" xfId="0" applyFill="1" applyBorder="1"/>
    <xf numFmtId="167" fontId="3" fillId="9" borderId="54" xfId="0" applyNumberFormat="1" applyFont="1" applyFill="1" applyBorder="1"/>
    <xf numFmtId="0" fontId="3" fillId="9" borderId="15" xfId="0" applyFont="1" applyFill="1" applyBorder="1"/>
    <xf numFmtId="0" fontId="3" fillId="9" borderId="18" xfId="0" applyFont="1" applyFill="1" applyBorder="1"/>
    <xf numFmtId="0" fontId="2" fillId="7" borderId="0" xfId="8" quotePrefix="1" applyFill="1" applyAlignment="1" applyProtection="1">
      <alignment horizontal="left" indent="5"/>
    </xf>
    <xf numFmtId="0" fontId="2" fillId="7" borderId="0" xfId="8" applyFill="1" applyAlignment="1" applyProtection="1"/>
    <xf numFmtId="0" fontId="5" fillId="2" borderId="2" xfId="0" applyFont="1" applyFill="1" applyBorder="1" applyAlignment="1">
      <alignment horizontal="left"/>
    </xf>
    <xf numFmtId="0" fontId="5" fillId="0" borderId="2" xfId="0" applyFont="1" applyBorder="1" applyAlignment="1">
      <alignment horizontal="left"/>
    </xf>
    <xf numFmtId="0" fontId="5" fillId="2" borderId="21" xfId="0" applyFont="1" applyFill="1" applyBorder="1" applyAlignment="1">
      <alignment horizontal="left"/>
    </xf>
    <xf numFmtId="0" fontId="5" fillId="0" borderId="21" xfId="0" applyFont="1" applyBorder="1" applyAlignment="1">
      <alignment horizontal="left"/>
    </xf>
    <xf numFmtId="167" fontId="0" fillId="7" borderId="0" xfId="0" applyNumberFormat="1" applyFill="1" applyBorder="1" applyProtection="1">
      <protection locked="0"/>
    </xf>
    <xf numFmtId="0" fontId="5" fillId="7" borderId="0" xfId="0" applyFont="1" applyFill="1" applyBorder="1" applyProtection="1">
      <protection locked="0"/>
    </xf>
    <xf numFmtId="3" fontId="5" fillId="7" borderId="0" xfId="0" applyNumberFormat="1" applyFont="1" applyFill="1" applyBorder="1" applyProtection="1">
      <protection locked="0"/>
    </xf>
    <xf numFmtId="0" fontId="5" fillId="7" borderId="0" xfId="0" applyFont="1" applyFill="1" applyBorder="1" applyProtection="1"/>
    <xf numFmtId="0" fontId="3" fillId="8" borderId="0" xfId="0" applyFont="1" applyFill="1"/>
    <xf numFmtId="167" fontId="0" fillId="7" borderId="40" xfId="0" applyNumberFormat="1" applyFill="1" applyBorder="1" applyAlignment="1">
      <alignment vertical="center"/>
    </xf>
    <xf numFmtId="0" fontId="3" fillId="8" borderId="0" xfId="0" applyFont="1" applyFill="1" applyAlignment="1"/>
    <xf numFmtId="0" fontId="3" fillId="7" borderId="0" xfId="0" applyFont="1" applyFill="1" applyAlignment="1"/>
    <xf numFmtId="0" fontId="11" fillId="7" borderId="0" xfId="0" applyFont="1" applyFill="1" applyBorder="1"/>
    <xf numFmtId="0" fontId="3" fillId="9" borderId="0" xfId="0" applyFont="1" applyFill="1" applyBorder="1"/>
    <xf numFmtId="0" fontId="3" fillId="7" borderId="0" xfId="0" applyFont="1" applyFill="1" applyBorder="1"/>
    <xf numFmtId="0" fontId="0" fillId="7" borderId="16" xfId="0" applyFill="1" applyBorder="1"/>
    <xf numFmtId="0" fontId="0" fillId="7" borderId="17" xfId="0" applyFill="1" applyBorder="1"/>
    <xf numFmtId="0" fontId="0" fillId="7" borderId="47" xfId="0" applyFill="1" applyBorder="1"/>
    <xf numFmtId="0" fontId="0" fillId="7" borderId="19" xfId="0" applyFill="1" applyBorder="1"/>
    <xf numFmtId="0" fontId="0" fillId="7" borderId="54" xfId="0" applyFill="1" applyBorder="1"/>
    <xf numFmtId="0" fontId="0" fillId="7" borderId="68" xfId="0" applyFill="1" applyBorder="1"/>
    <xf numFmtId="0" fontId="0" fillId="7" borderId="69" xfId="0" applyFill="1" applyBorder="1"/>
    <xf numFmtId="0" fontId="0" fillId="7" borderId="70" xfId="0" applyFill="1" applyBorder="1"/>
    <xf numFmtId="0" fontId="5" fillId="7" borderId="45" xfId="0" applyFont="1" applyFill="1" applyBorder="1"/>
    <xf numFmtId="0" fontId="11" fillId="7" borderId="0" xfId="0" quotePrefix="1" applyFont="1" applyFill="1" applyBorder="1"/>
    <xf numFmtId="0" fontId="0" fillId="7" borderId="48" xfId="0" applyFill="1" applyBorder="1"/>
    <xf numFmtId="0" fontId="0" fillId="7" borderId="59" xfId="0" applyFill="1" applyBorder="1"/>
    <xf numFmtId="0" fontId="0" fillId="7" borderId="40" xfId="0" applyFill="1" applyBorder="1"/>
    <xf numFmtId="0" fontId="3" fillId="10" borderId="0" xfId="0" applyFont="1" applyFill="1"/>
    <xf numFmtId="0" fontId="0" fillId="10" borderId="0" xfId="0" applyFill="1"/>
    <xf numFmtId="0" fontId="57" fillId="11" borderId="71" xfId="0" applyFont="1" applyFill="1" applyBorder="1" applyAlignment="1">
      <alignment horizontal="center"/>
    </xf>
    <xf numFmtId="0" fontId="3" fillId="7" borderId="72" xfId="0" applyFont="1" applyFill="1" applyBorder="1"/>
    <xf numFmtId="0" fontId="3" fillId="7" borderId="8" xfId="0" applyFont="1" applyFill="1" applyBorder="1"/>
    <xf numFmtId="0" fontId="3" fillId="7" borderId="57" xfId="0" applyFont="1" applyFill="1" applyBorder="1"/>
    <xf numFmtId="0" fontId="3" fillId="7" borderId="7" xfId="0" applyFont="1" applyFill="1" applyBorder="1"/>
    <xf numFmtId="0" fontId="3" fillId="10" borderId="28" xfId="0" applyFont="1" applyFill="1" applyBorder="1"/>
    <xf numFmtId="0" fontId="5" fillId="10" borderId="73" xfId="0" applyFont="1" applyFill="1" applyBorder="1" applyAlignment="1">
      <alignment horizontal="right"/>
    </xf>
    <xf numFmtId="0" fontId="3" fillId="12" borderId="9" xfId="0" applyFont="1" applyFill="1" applyBorder="1" applyAlignment="1">
      <alignment horizontal="center" wrapText="1"/>
    </xf>
    <xf numFmtId="0" fontId="5" fillId="0" borderId="0" xfId="13"/>
    <xf numFmtId="0" fontId="5" fillId="7" borderId="0" xfId="13" applyFill="1"/>
    <xf numFmtId="0" fontId="14" fillId="2" borderId="0" xfId="13" applyFont="1" applyFill="1"/>
    <xf numFmtId="0" fontId="3" fillId="2" borderId="0" xfId="13" applyFont="1" applyFill="1"/>
    <xf numFmtId="0" fontId="5" fillId="0" borderId="0" xfId="13" applyAlignment="1">
      <alignment vertical="center"/>
    </xf>
    <xf numFmtId="0" fontId="3" fillId="0" borderId="0" xfId="13" applyFont="1"/>
    <xf numFmtId="0" fontId="5" fillId="7" borderId="0" xfId="13" applyFont="1" applyFill="1" applyAlignment="1">
      <alignment horizontal="left" wrapText="1"/>
    </xf>
    <xf numFmtId="0" fontId="3" fillId="2" borderId="0" xfId="13" applyFont="1" applyFill="1" applyAlignment="1">
      <alignment horizontal="left" wrapText="1"/>
    </xf>
    <xf numFmtId="0" fontId="3" fillId="2" borderId="0" xfId="13" applyFont="1" applyFill="1" applyAlignment="1">
      <alignment horizontal="left"/>
    </xf>
    <xf numFmtId="0" fontId="5" fillId="7" borderId="0" xfId="13" applyFont="1" applyFill="1"/>
    <xf numFmtId="0" fontId="5" fillId="7" borderId="0" xfId="13" applyFill="1" applyAlignment="1">
      <alignment horizontal="right" vertical="top"/>
    </xf>
    <xf numFmtId="0" fontId="11" fillId="2" borderId="0" xfId="13" applyFont="1" applyFill="1" applyAlignment="1">
      <alignment horizontal="left" indent="1"/>
    </xf>
    <xf numFmtId="0" fontId="12" fillId="2" borderId="0" xfId="0" applyFont="1" applyFill="1" applyAlignment="1">
      <alignment horizontal="left" wrapText="1"/>
    </xf>
    <xf numFmtId="0" fontId="5" fillId="7" borderId="0" xfId="13" applyFont="1" applyFill="1" applyAlignment="1">
      <alignment horizontal="left" wrapText="1"/>
    </xf>
    <xf numFmtId="0" fontId="5" fillId="7" borderId="0" xfId="13" applyFill="1" applyAlignment="1">
      <alignment horizontal="left" vertical="top" wrapText="1"/>
    </xf>
    <xf numFmtId="0" fontId="0" fillId="12" borderId="28" xfId="0" applyFill="1" applyBorder="1"/>
    <xf numFmtId="0" fontId="0" fillId="12" borderId="71" xfId="0" applyFill="1" applyBorder="1"/>
    <xf numFmtId="0" fontId="0" fillId="0" borderId="10" xfId="0" applyFill="1" applyBorder="1"/>
    <xf numFmtId="0" fontId="0" fillId="0" borderId="12" xfId="0" applyFill="1" applyBorder="1"/>
    <xf numFmtId="0" fontId="14" fillId="7" borderId="0" xfId="13" applyFont="1" applyFill="1"/>
    <xf numFmtId="0" fontId="5" fillId="7" borderId="0" xfId="13" quotePrefix="1" applyFill="1" applyAlignment="1">
      <alignment horizontal="left" vertical="top" wrapText="1" indent="4"/>
    </xf>
    <xf numFmtId="0" fontId="5" fillId="7" borderId="0" xfId="13" applyFill="1" applyAlignment="1">
      <alignment vertical="top" wrapText="1"/>
    </xf>
    <xf numFmtId="0" fontId="5" fillId="7" borderId="0" xfId="13" quotePrefix="1" applyFill="1" applyAlignment="1">
      <alignment vertical="top"/>
    </xf>
    <xf numFmtId="0" fontId="3" fillId="7" borderId="0" xfId="13" applyFont="1" applyFill="1" applyAlignment="1">
      <alignment vertical="top" wrapText="1"/>
    </xf>
    <xf numFmtId="0" fontId="3" fillId="7" borderId="0" xfId="13" applyFont="1" applyFill="1" applyAlignment="1">
      <alignment vertical="top"/>
    </xf>
    <xf numFmtId="0" fontId="5" fillId="7" borderId="0" xfId="13" applyFill="1" applyAlignment="1">
      <alignment horizontal="left" vertical="top"/>
    </xf>
    <xf numFmtId="0" fontId="11" fillId="7" borderId="0" xfId="13" applyFont="1" applyFill="1"/>
    <xf numFmtId="0" fontId="3" fillId="12" borderId="8" xfId="13" applyFont="1" applyFill="1" applyBorder="1"/>
    <xf numFmtId="0" fontId="3" fillId="12" borderId="8" xfId="13" quotePrefix="1" applyFont="1" applyFill="1" applyBorder="1" applyAlignment="1">
      <alignment vertical="top"/>
    </xf>
    <xf numFmtId="0" fontId="3" fillId="12" borderId="9" xfId="13" applyFont="1" applyFill="1" applyBorder="1"/>
    <xf numFmtId="0" fontId="5" fillId="7" borderId="27" xfId="13" applyFill="1" applyBorder="1"/>
    <xf numFmtId="0" fontId="5" fillId="7" borderId="35" xfId="13" applyFill="1" applyBorder="1" applyAlignment="1">
      <alignment horizontal="center"/>
    </xf>
    <xf numFmtId="0" fontId="5" fillId="7" borderId="42" xfId="13" applyFill="1" applyBorder="1" applyAlignment="1">
      <alignment horizontal="center"/>
    </xf>
    <xf numFmtId="0" fontId="5" fillId="7" borderId="46" xfId="13" applyFill="1" applyBorder="1"/>
    <xf numFmtId="0" fontId="5" fillId="7" borderId="0" xfId="13" applyFill="1" applyBorder="1"/>
    <xf numFmtId="0" fontId="53" fillId="7" borderId="0" xfId="15" applyFill="1"/>
    <xf numFmtId="0" fontId="5" fillId="11" borderId="0" xfId="13" applyFill="1"/>
    <xf numFmtId="0" fontId="5" fillId="11" borderId="0" xfId="13" applyFill="1" applyAlignment="1">
      <alignment vertical="top" wrapText="1"/>
    </xf>
    <xf numFmtId="0" fontId="3" fillId="10" borderId="0" xfId="13" applyFont="1" applyFill="1" applyAlignment="1">
      <alignment horizontal="left"/>
    </xf>
    <xf numFmtId="0" fontId="5" fillId="10" borderId="0" xfId="13" applyFont="1" applyFill="1" applyAlignment="1">
      <alignment horizontal="left" wrapText="1"/>
    </xf>
    <xf numFmtId="0" fontId="5" fillId="10" borderId="0" xfId="13" applyFill="1"/>
    <xf numFmtId="0" fontId="5" fillId="7" borderId="0" xfId="13" applyFill="1" applyAlignment="1">
      <alignment wrapText="1"/>
    </xf>
    <xf numFmtId="0" fontId="12" fillId="7" borderId="0" xfId="0" applyFont="1" applyFill="1"/>
    <xf numFmtId="0" fontId="57" fillId="11" borderId="0" xfId="13" applyFont="1" applyFill="1"/>
    <xf numFmtId="0" fontId="5" fillId="7" borderId="0" xfId="13" applyFont="1" applyFill="1" applyAlignment="1">
      <alignment horizontal="left" wrapText="1"/>
    </xf>
    <xf numFmtId="0" fontId="5" fillId="7" borderId="0" xfId="13" applyFont="1" applyFill="1" applyAlignment="1">
      <alignment horizontal="left" wrapText="1" indent="1"/>
    </xf>
    <xf numFmtId="0" fontId="22" fillId="7" borderId="0" xfId="0" applyFont="1" applyFill="1" applyBorder="1" applyAlignment="1">
      <alignment horizontal="center"/>
    </xf>
    <xf numFmtId="0" fontId="5" fillId="7" borderId="0" xfId="13" applyFont="1" applyFill="1" applyAlignment="1">
      <alignment horizontal="left"/>
    </xf>
    <xf numFmtId="0" fontId="11" fillId="7" borderId="0" xfId="13" quotePrefix="1" applyFont="1" applyFill="1" applyAlignment="1">
      <alignment horizontal="right" wrapText="1"/>
    </xf>
    <xf numFmtId="0" fontId="3" fillId="7" borderId="0" xfId="13" applyFont="1" applyFill="1"/>
    <xf numFmtId="0" fontId="3" fillId="7" borderId="0" xfId="13" applyFont="1" applyFill="1" applyAlignment="1">
      <alignment horizontal="left" wrapText="1"/>
    </xf>
    <xf numFmtId="0" fontId="11" fillId="7" borderId="0" xfId="13" applyFont="1" applyFill="1" applyAlignment="1">
      <alignment horizontal="left" indent="1"/>
    </xf>
    <xf numFmtId="0" fontId="3" fillId="7" borderId="0" xfId="13" applyFont="1" applyFill="1" applyAlignment="1">
      <alignment horizontal="left"/>
    </xf>
    <xf numFmtId="0" fontId="2" fillId="7" borderId="0" xfId="8" applyFill="1" applyAlignment="1" applyProtection="1">
      <alignment horizontal="left" indent="1"/>
    </xf>
    <xf numFmtId="0" fontId="11" fillId="7" borderId="0" xfId="13" applyFont="1" applyFill="1" applyAlignment="1">
      <alignment horizontal="left" wrapText="1" indent="1"/>
    </xf>
    <xf numFmtId="0" fontId="5" fillId="7" borderId="0" xfId="13" applyFont="1" applyFill="1" applyAlignment="1">
      <alignment horizontal="left" indent="2"/>
    </xf>
    <xf numFmtId="0" fontId="5" fillId="7" borderId="0" xfId="13" applyFont="1" applyFill="1" applyAlignment="1">
      <alignment horizontal="left" wrapText="1"/>
    </xf>
    <xf numFmtId="0" fontId="5" fillId="7" borderId="0" xfId="13" quotePrefix="1" applyFill="1" applyAlignment="1">
      <alignment horizontal="left" vertical="top" wrapText="1" indent="4"/>
    </xf>
    <xf numFmtId="0" fontId="5" fillId="0" borderId="27" xfId="0" applyFont="1" applyFill="1" applyBorder="1"/>
    <xf numFmtId="0" fontId="3" fillId="3" borderId="72" xfId="0" applyFont="1" applyFill="1" applyBorder="1" applyAlignment="1">
      <alignment horizontal="center" wrapText="1"/>
    </xf>
    <xf numFmtId="167" fontId="0" fillId="0" borderId="35" xfId="0" applyNumberFormat="1" applyFill="1" applyBorder="1"/>
    <xf numFmtId="167" fontId="0" fillId="0" borderId="42" xfId="0" applyNumberFormat="1" applyFill="1" applyBorder="1"/>
    <xf numFmtId="0" fontId="0" fillId="0" borderId="18" xfId="0" applyBorder="1"/>
    <xf numFmtId="0" fontId="5" fillId="0" borderId="1" xfId="0" applyFont="1" applyBorder="1"/>
    <xf numFmtId="166" fontId="0" fillId="0" borderId="4" xfId="0" applyNumberFormat="1" applyBorder="1"/>
    <xf numFmtId="0" fontId="5" fillId="7" borderId="0" xfId="0" applyFont="1" applyFill="1" applyBorder="1" applyAlignment="1">
      <alignment horizontal="left" wrapText="1"/>
    </xf>
    <xf numFmtId="0" fontId="5" fillId="7" borderId="0" xfId="0" applyFont="1" applyFill="1" applyAlignment="1">
      <alignment horizontal="left" vertical="top" wrapText="1"/>
    </xf>
    <xf numFmtId="0" fontId="5" fillId="7" borderId="0" xfId="13" applyFont="1" applyFill="1" applyAlignment="1">
      <alignment horizontal="left" wrapText="1"/>
    </xf>
    <xf numFmtId="0" fontId="5" fillId="7" borderId="0" xfId="13" applyFill="1" applyAlignment="1">
      <alignment horizontal="left" vertical="top" wrapText="1"/>
    </xf>
    <xf numFmtId="0" fontId="5" fillId="7" borderId="0" xfId="13" applyFont="1" applyFill="1" applyAlignment="1">
      <alignment horizontal="left" wrapText="1" indent="1"/>
    </xf>
    <xf numFmtId="0" fontId="5" fillId="7" borderId="58" xfId="0" quotePrefix="1" applyFont="1" applyFill="1" applyBorder="1" applyAlignment="1">
      <alignment horizontal="right" vertical="top"/>
    </xf>
    <xf numFmtId="0" fontId="0" fillId="7" borderId="45" xfId="0" applyFill="1" applyBorder="1"/>
    <xf numFmtId="0" fontId="5" fillId="7" borderId="45" xfId="0" quotePrefix="1" applyFont="1" applyFill="1" applyBorder="1" applyAlignment="1">
      <alignment horizontal="right" vertical="top"/>
    </xf>
    <xf numFmtId="0" fontId="5" fillId="7" borderId="55" xfId="0" quotePrefix="1" applyFont="1" applyFill="1" applyBorder="1" applyAlignment="1">
      <alignment horizontal="right" vertical="top"/>
    </xf>
    <xf numFmtId="0" fontId="5" fillId="7" borderId="0" xfId="0" quotePrefix="1" applyFont="1" applyFill="1" applyBorder="1" applyAlignment="1">
      <alignment horizontal="right" vertical="top"/>
    </xf>
    <xf numFmtId="0" fontId="0" fillId="7" borderId="55" xfId="0" applyFill="1" applyBorder="1"/>
    <xf numFmtId="0" fontId="0" fillId="7" borderId="0" xfId="0" applyFill="1" applyAlignment="1">
      <alignment vertical="center"/>
    </xf>
    <xf numFmtId="172" fontId="26" fillId="7" borderId="0" xfId="2" applyNumberFormat="1" applyFont="1" applyFill="1"/>
    <xf numFmtId="43" fontId="0" fillId="7" borderId="0" xfId="0" applyNumberFormat="1" applyFill="1"/>
    <xf numFmtId="167" fontId="0" fillId="7" borderId="0" xfId="0" applyNumberFormat="1" applyFill="1"/>
    <xf numFmtId="0" fontId="17" fillId="7" borderId="0" xfId="0" quotePrefix="1" applyFont="1" applyFill="1"/>
    <xf numFmtId="0" fontId="0" fillId="7" borderId="0" xfId="0" applyFill="1" applyBorder="1" applyAlignment="1">
      <alignment horizontal="center"/>
    </xf>
    <xf numFmtId="0" fontId="0" fillId="7" borderId="2" xfId="0" applyFill="1" applyBorder="1"/>
    <xf numFmtId="3" fontId="0" fillId="7" borderId="0" xfId="0" applyNumberFormat="1" applyFill="1"/>
    <xf numFmtId="0" fontId="0" fillId="7" borderId="26" xfId="0" applyFill="1" applyBorder="1"/>
    <xf numFmtId="0" fontId="0" fillId="7" borderId="2" xfId="0" applyFill="1" applyBorder="1" applyAlignment="1">
      <alignment horizontal="center"/>
    </xf>
    <xf numFmtId="0" fontId="5" fillId="7" borderId="0" xfId="14" applyFill="1"/>
    <xf numFmtId="0" fontId="3" fillId="7" borderId="0" xfId="0" applyFont="1" applyFill="1" applyBorder="1" applyAlignment="1">
      <alignment horizontal="left"/>
    </xf>
    <xf numFmtId="0" fontId="0" fillId="7" borderId="0" xfId="0" applyFill="1" applyBorder="1" applyAlignment="1">
      <alignment vertical="center"/>
    </xf>
    <xf numFmtId="0" fontId="5" fillId="7" borderId="0" xfId="0" applyFont="1" applyFill="1" applyBorder="1" applyAlignment="1">
      <alignment vertical="center"/>
    </xf>
    <xf numFmtId="166" fontId="0" fillId="7" borderId="0" xfId="0" applyNumberFormat="1" applyFill="1" applyBorder="1"/>
    <xf numFmtId="166" fontId="5" fillId="7" borderId="0" xfId="0" applyNumberFormat="1" applyFont="1" applyFill="1" applyBorder="1" applyAlignment="1">
      <alignment horizontal="center"/>
    </xf>
    <xf numFmtId="166" fontId="0" fillId="7" borderId="0" xfId="0" applyNumberFormat="1" applyFill="1" applyBorder="1" applyAlignment="1"/>
    <xf numFmtId="166" fontId="0" fillId="7" borderId="0" xfId="0" applyNumberFormat="1" applyFill="1" applyBorder="1" applyAlignment="1">
      <alignment horizontal="right"/>
    </xf>
    <xf numFmtId="166" fontId="1" fillId="7" borderId="0" xfId="0" applyNumberFormat="1" applyFont="1" applyFill="1" applyBorder="1" applyAlignment="1">
      <alignment horizontal="right"/>
    </xf>
    <xf numFmtId="0" fontId="5" fillId="7" borderId="0" xfId="0" applyFont="1" applyFill="1" applyBorder="1" applyAlignment="1">
      <alignment horizontal="left"/>
    </xf>
    <xf numFmtId="171" fontId="0" fillId="7" borderId="0" xfId="0" applyNumberFormat="1" applyFill="1"/>
    <xf numFmtId="0" fontId="24" fillId="7" borderId="0" xfId="0" applyFont="1" applyFill="1" applyAlignment="1">
      <alignment horizontal="center" wrapText="1"/>
    </xf>
    <xf numFmtId="0" fontId="21" fillId="7" borderId="0" xfId="0" applyFont="1" applyFill="1"/>
    <xf numFmtId="2" fontId="21" fillId="7" borderId="0" xfId="0" applyNumberFormat="1" applyFont="1" applyFill="1"/>
    <xf numFmtId="166" fontId="21" fillId="7" borderId="0" xfId="0" applyNumberFormat="1" applyFont="1" applyFill="1"/>
    <xf numFmtId="0" fontId="5" fillId="7" borderId="46" xfId="0" applyFont="1" applyFill="1" applyBorder="1"/>
    <xf numFmtId="0" fontId="0" fillId="7" borderId="73" xfId="0" applyFill="1" applyBorder="1"/>
    <xf numFmtId="0" fontId="0" fillId="7" borderId="29" xfId="0" applyFill="1" applyBorder="1"/>
    <xf numFmtId="0" fontId="5" fillId="7" borderId="1" xfId="13" applyFill="1" applyBorder="1"/>
    <xf numFmtId="0" fontId="5" fillId="7" borderId="2" xfId="13" applyFill="1" applyBorder="1" applyAlignment="1">
      <alignment horizontal="center"/>
    </xf>
    <xf numFmtId="0" fontId="5" fillId="7" borderId="44" xfId="13" applyFill="1" applyBorder="1" applyAlignment="1">
      <alignment horizontal="center"/>
    </xf>
    <xf numFmtId="0" fontId="14" fillId="7" borderId="0" xfId="0" applyFont="1" applyFill="1" applyAlignment="1">
      <alignment wrapText="1"/>
    </xf>
    <xf numFmtId="0" fontId="3" fillId="7" borderId="0" xfId="13" applyFont="1" applyFill="1" applyBorder="1"/>
    <xf numFmtId="0" fontId="3" fillId="7" borderId="0" xfId="13" applyFont="1" applyFill="1" applyBorder="1" applyAlignment="1">
      <alignment horizontal="center"/>
    </xf>
    <xf numFmtId="0" fontId="5" fillId="7" borderId="0" xfId="13" applyFill="1" applyBorder="1" applyProtection="1">
      <protection locked="0"/>
    </xf>
    <xf numFmtId="3" fontId="5" fillId="7" borderId="0" xfId="13" applyNumberFormat="1" applyFill="1" applyBorder="1" applyProtection="1">
      <protection locked="0"/>
    </xf>
    <xf numFmtId="0" fontId="5" fillId="7" borderId="0" xfId="13" applyFont="1" applyFill="1" applyBorder="1"/>
    <xf numFmtId="0" fontId="3" fillId="7" borderId="0" xfId="13" applyFont="1" applyFill="1" applyBorder="1" applyProtection="1">
      <protection locked="0"/>
    </xf>
    <xf numFmtId="0" fontId="11" fillId="7" borderId="0" xfId="13" quotePrefix="1" applyFont="1" applyFill="1" applyBorder="1"/>
    <xf numFmtId="0" fontId="3" fillId="7" borderId="0" xfId="13" applyFont="1" applyFill="1" applyBorder="1" applyAlignment="1"/>
    <xf numFmtId="0" fontId="5" fillId="7" borderId="0" xfId="13" applyFill="1" applyBorder="1" applyAlignment="1">
      <alignment vertical="center"/>
    </xf>
    <xf numFmtId="3" fontId="5" fillId="7" borderId="0" xfId="13" applyNumberFormat="1" applyFill="1" applyBorder="1" applyAlignment="1">
      <alignment vertical="center"/>
    </xf>
    <xf numFmtId="0" fontId="5" fillId="7" borderId="0" xfId="13" applyFill="1" applyAlignment="1">
      <alignment vertical="center"/>
    </xf>
    <xf numFmtId="0" fontId="5" fillId="7" borderId="0" xfId="13" applyFont="1" applyFill="1" applyBorder="1" applyAlignment="1">
      <alignment vertical="center"/>
    </xf>
    <xf numFmtId="167" fontId="5" fillId="7" borderId="0" xfId="13" applyNumberFormat="1" applyFill="1" applyBorder="1" applyAlignment="1">
      <alignment vertical="center"/>
    </xf>
    <xf numFmtId="0" fontId="3" fillId="7" borderId="0" xfId="13" applyFont="1" applyFill="1" applyBorder="1" applyAlignment="1">
      <alignment vertical="center"/>
    </xf>
    <xf numFmtId="167" fontId="3" fillId="7" borderId="0" xfId="13" applyNumberFormat="1" applyFont="1" applyFill="1" applyBorder="1" applyAlignment="1">
      <alignment vertical="center"/>
    </xf>
    <xf numFmtId="167" fontId="3" fillId="7" borderId="0" xfId="13" applyNumberFormat="1" applyFont="1" applyFill="1" applyBorder="1"/>
    <xf numFmtId="4" fontId="3" fillId="7" borderId="0" xfId="13" applyNumberFormat="1" applyFont="1" applyFill="1" applyBorder="1"/>
    <xf numFmtId="167" fontId="5" fillId="7" borderId="0" xfId="13" applyNumberFormat="1" applyFill="1" applyBorder="1"/>
    <xf numFmtId="0" fontId="12" fillId="7" borderId="0" xfId="13" applyFont="1" applyFill="1" applyBorder="1"/>
    <xf numFmtId="0" fontId="17" fillId="7" borderId="0" xfId="13" quotePrefix="1" applyFont="1" applyFill="1" applyBorder="1"/>
    <xf numFmtId="4" fontId="0" fillId="7" borderId="0" xfId="0" applyNumberFormat="1" applyFill="1" applyBorder="1" applyAlignment="1">
      <alignment horizontal="right"/>
    </xf>
    <xf numFmtId="4" fontId="0" fillId="7" borderId="0" xfId="0" applyNumberFormat="1" applyFill="1" applyBorder="1"/>
    <xf numFmtId="167" fontId="5" fillId="13" borderId="35" xfId="0" applyNumberFormat="1" applyFont="1" applyFill="1" applyBorder="1" applyProtection="1">
      <protection locked="0"/>
    </xf>
    <xf numFmtId="167" fontId="5" fillId="0" borderId="42" xfId="0" applyNumberFormat="1" applyFont="1" applyBorder="1"/>
    <xf numFmtId="167" fontId="5" fillId="5" borderId="2" xfId="0" applyNumberFormat="1" applyFont="1" applyFill="1" applyBorder="1" applyProtection="1">
      <protection locked="0"/>
    </xf>
    <xf numFmtId="167" fontId="5" fillId="0" borderId="44" xfId="0" applyNumberFormat="1" applyFont="1" applyBorder="1"/>
    <xf numFmtId="3" fontId="5" fillId="0" borderId="26" xfId="0" applyNumberFormat="1" applyFont="1" applyFill="1" applyBorder="1"/>
    <xf numFmtId="167" fontId="5" fillId="5" borderId="26" xfId="0" applyNumberFormat="1" applyFont="1" applyFill="1" applyBorder="1" applyProtection="1">
      <protection locked="0"/>
    </xf>
    <xf numFmtId="167" fontId="5" fillId="0" borderId="50" xfId="0" applyNumberFormat="1" applyFont="1" applyBorder="1"/>
    <xf numFmtId="167" fontId="5" fillId="0" borderId="21" xfId="0" applyNumberFormat="1" applyFont="1" applyBorder="1"/>
    <xf numFmtId="3" fontId="5" fillId="5" borderId="23" xfId="0" applyNumberFormat="1" applyFont="1" applyFill="1" applyBorder="1" applyProtection="1">
      <protection locked="0"/>
    </xf>
    <xf numFmtId="0" fontId="5" fillId="5" borderId="22" xfId="0" applyFont="1" applyFill="1" applyBorder="1" applyProtection="1">
      <protection locked="0"/>
    </xf>
    <xf numFmtId="0" fontId="5" fillId="5" borderId="23" xfId="0" applyFont="1" applyFill="1" applyBorder="1" applyProtection="1">
      <protection locked="0"/>
    </xf>
    <xf numFmtId="0" fontId="5" fillId="5" borderId="1" xfId="0" applyFont="1" applyFill="1" applyBorder="1" applyAlignment="1" applyProtection="1">
      <alignment vertical="center"/>
      <protection locked="0"/>
    </xf>
    <xf numFmtId="1" fontId="5" fillId="5" borderId="2" xfId="0" applyNumberFormat="1" applyFont="1" applyFill="1" applyBorder="1" applyAlignment="1" applyProtection="1">
      <alignment vertical="center"/>
      <protection locked="0"/>
    </xf>
    <xf numFmtId="3" fontId="5" fillId="5" borderId="2" xfId="0" applyNumberFormat="1" applyFont="1" applyFill="1" applyBorder="1" applyAlignment="1" applyProtection="1">
      <alignment vertical="center"/>
      <protection locked="0"/>
    </xf>
    <xf numFmtId="2" fontId="5" fillId="5" borderId="2" xfId="0" applyNumberFormat="1" applyFont="1" applyFill="1" applyBorder="1" applyAlignment="1" applyProtection="1">
      <alignment vertical="center"/>
      <protection locked="0"/>
    </xf>
    <xf numFmtId="0" fontId="5" fillId="13" borderId="2" xfId="0" applyFont="1" applyFill="1" applyBorder="1" applyProtection="1">
      <protection locked="0"/>
    </xf>
    <xf numFmtId="3" fontId="5" fillId="0" borderId="2" xfId="0" applyNumberFormat="1" applyFont="1" applyBorder="1"/>
    <xf numFmtId="167" fontId="5" fillId="0" borderId="2" xfId="0" applyNumberFormat="1" applyFont="1" applyBorder="1"/>
    <xf numFmtId="167" fontId="5" fillId="0" borderId="60" xfId="0" applyNumberFormat="1" applyFont="1" applyBorder="1"/>
    <xf numFmtId="3" fontId="5" fillId="0" borderId="26" xfId="0" applyNumberFormat="1" applyFont="1" applyBorder="1"/>
    <xf numFmtId="167" fontId="5" fillId="0" borderId="26" xfId="0" applyNumberFormat="1" applyFont="1" applyBorder="1"/>
    <xf numFmtId="0" fontId="5" fillId="13" borderId="3" xfId="0" applyFont="1" applyFill="1" applyBorder="1" applyProtection="1">
      <protection locked="0"/>
    </xf>
    <xf numFmtId="0" fontId="5" fillId="13" borderId="21" xfId="0" applyFont="1" applyFill="1" applyBorder="1" applyProtection="1">
      <protection locked="0"/>
    </xf>
    <xf numFmtId="0" fontId="5" fillId="13" borderId="1" xfId="0" applyFont="1" applyFill="1" applyBorder="1" applyProtection="1">
      <protection locked="0"/>
    </xf>
    <xf numFmtId="0" fontId="5" fillId="13" borderId="46" xfId="0" applyFont="1" applyFill="1" applyBorder="1" applyProtection="1">
      <protection locked="0"/>
    </xf>
    <xf numFmtId="0" fontId="5" fillId="13" borderId="26" xfId="0" applyFont="1" applyFill="1" applyBorder="1" applyProtection="1">
      <protection locked="0"/>
    </xf>
    <xf numFmtId="0" fontId="0" fillId="5" borderId="2" xfId="0" applyNumberFormat="1" applyFill="1" applyBorder="1" applyProtection="1">
      <protection locked="0"/>
    </xf>
    <xf numFmtId="0" fontId="0" fillId="0" borderId="21" xfId="0" applyNumberFormat="1" applyBorder="1"/>
    <xf numFmtId="0" fontId="0" fillId="0" borderId="2" xfId="0" applyNumberFormat="1" applyBorder="1"/>
    <xf numFmtId="0" fontId="0" fillId="3" borderId="26" xfId="0" applyNumberFormat="1" applyFill="1" applyBorder="1"/>
    <xf numFmtId="1" fontId="0" fillId="5" borderId="2" xfId="0" applyNumberFormat="1" applyFill="1" applyBorder="1" applyProtection="1">
      <protection locked="0"/>
    </xf>
    <xf numFmtId="10" fontId="0" fillId="7" borderId="23" xfId="0" applyNumberFormat="1" applyFill="1" applyBorder="1" applyProtection="1"/>
    <xf numFmtId="167" fontId="5" fillId="0" borderId="21" xfId="0" applyNumberFormat="1" applyFont="1" applyBorder="1" applyProtection="1"/>
    <xf numFmtId="1" fontId="5" fillId="5" borderId="21" xfId="0" applyNumberFormat="1" applyFont="1" applyFill="1" applyBorder="1" applyAlignment="1" applyProtection="1">
      <protection locked="0"/>
    </xf>
    <xf numFmtId="1" fontId="5" fillId="5" borderId="2" xfId="0" applyNumberFormat="1" applyFont="1" applyFill="1" applyBorder="1" applyAlignment="1" applyProtection="1">
      <protection locked="0"/>
    </xf>
    <xf numFmtId="1" fontId="5" fillId="5" borderId="26" xfId="0" applyNumberFormat="1" applyFont="1" applyFill="1" applyBorder="1" applyAlignment="1" applyProtection="1">
      <protection locked="0"/>
    </xf>
    <xf numFmtId="3" fontId="5" fillId="5" borderId="21" xfId="0" applyNumberFormat="1" applyFont="1" applyFill="1" applyBorder="1" applyAlignment="1" applyProtection="1">
      <protection locked="0"/>
    </xf>
    <xf numFmtId="2" fontId="5" fillId="5" borderId="21" xfId="0" applyNumberFormat="1" applyFont="1" applyFill="1" applyBorder="1" applyAlignment="1" applyProtection="1">
      <protection locked="0"/>
    </xf>
    <xf numFmtId="2" fontId="5" fillId="5" borderId="43" xfId="0" applyNumberFormat="1" applyFont="1" applyFill="1" applyBorder="1" applyAlignment="1" applyProtection="1">
      <protection locked="0"/>
    </xf>
    <xf numFmtId="3" fontId="5" fillId="5" borderId="2" xfId="0" applyNumberFormat="1" applyFont="1" applyFill="1" applyBorder="1" applyAlignment="1" applyProtection="1">
      <protection locked="0"/>
    </xf>
    <xf numFmtId="2" fontId="5" fillId="5" borderId="2" xfId="0" applyNumberFormat="1" applyFont="1" applyFill="1" applyBorder="1" applyAlignment="1" applyProtection="1">
      <protection locked="0"/>
    </xf>
    <xf numFmtId="2" fontId="5" fillId="5" borderId="44" xfId="0" applyNumberFormat="1" applyFont="1" applyFill="1" applyBorder="1" applyAlignment="1" applyProtection="1">
      <protection locked="0"/>
    </xf>
    <xf numFmtId="3" fontId="5" fillId="5" borderId="26" xfId="0" applyNumberFormat="1" applyFont="1" applyFill="1" applyBorder="1" applyAlignment="1" applyProtection="1">
      <protection locked="0"/>
    </xf>
    <xf numFmtId="2" fontId="5" fillId="5" borderId="26" xfId="0" applyNumberFormat="1" applyFont="1" applyFill="1" applyBorder="1" applyAlignment="1" applyProtection="1">
      <protection locked="0"/>
    </xf>
    <xf numFmtId="2" fontId="5" fillId="5" borderId="50" xfId="0" applyNumberFormat="1" applyFont="1" applyFill="1" applyBorder="1" applyAlignment="1" applyProtection="1">
      <protection locked="0"/>
    </xf>
    <xf numFmtId="3" fontId="0" fillId="2" borderId="42" xfId="0" applyNumberFormat="1" applyFill="1" applyBorder="1"/>
    <xf numFmtId="3" fontId="0" fillId="2" borderId="44" xfId="0" applyNumberFormat="1" applyFill="1" applyBorder="1"/>
    <xf numFmtId="3" fontId="0" fillId="2" borderId="50" xfId="0" applyNumberFormat="1" applyFill="1" applyBorder="1"/>
    <xf numFmtId="3" fontId="0" fillId="0" borderId="21" xfId="0" applyNumberFormat="1" applyBorder="1"/>
    <xf numFmtId="167" fontId="5" fillId="0" borderId="43" xfId="0" applyNumberFormat="1" applyFont="1" applyBorder="1"/>
    <xf numFmtId="3" fontId="5" fillId="0" borderId="21" xfId="0" applyNumberFormat="1" applyFont="1" applyBorder="1"/>
    <xf numFmtId="3" fontId="5" fillId="0" borderId="21" xfId="0" applyNumberFormat="1" applyFont="1" applyFill="1" applyBorder="1"/>
    <xf numFmtId="167" fontId="5" fillId="13" borderId="21" xfId="0" applyNumberFormat="1" applyFont="1" applyFill="1" applyBorder="1" applyProtection="1">
      <protection locked="0"/>
    </xf>
    <xf numFmtId="167" fontId="5" fillId="13" borderId="43" xfId="0" applyNumberFormat="1" applyFont="1" applyFill="1" applyBorder="1" applyProtection="1">
      <protection locked="0"/>
    </xf>
    <xf numFmtId="167" fontId="5" fillId="13" borderId="44" xfId="0" applyNumberFormat="1" applyFont="1" applyFill="1" applyBorder="1" applyProtection="1">
      <protection locked="0"/>
    </xf>
    <xf numFmtId="167" fontId="5" fillId="13" borderId="50" xfId="0" applyNumberFormat="1" applyFont="1" applyFill="1" applyBorder="1" applyProtection="1">
      <protection locked="0"/>
    </xf>
    <xf numFmtId="0" fontId="2" fillId="7" borderId="0" xfId="8" applyFill="1" applyAlignment="1" applyProtection="1">
      <alignment horizontal="left"/>
    </xf>
    <xf numFmtId="0" fontId="5" fillId="7" borderId="0" xfId="0" applyFont="1" applyFill="1" applyAlignment="1">
      <alignment horizontal="left" vertical="top" wrapText="1"/>
    </xf>
    <xf numFmtId="0" fontId="5" fillId="7" borderId="0" xfId="13" applyFont="1" applyFill="1" applyAlignment="1">
      <alignment horizontal="left" wrapText="1" indent="1"/>
    </xf>
    <xf numFmtId="0" fontId="5" fillId="7" borderId="0" xfId="13" applyFill="1" applyAlignment="1">
      <alignment horizontal="left" vertical="top" wrapText="1"/>
    </xf>
    <xf numFmtId="0" fontId="5" fillId="7" borderId="0" xfId="13" applyFont="1" applyFill="1" applyAlignment="1">
      <alignment horizontal="left" wrapText="1"/>
    </xf>
    <xf numFmtId="0" fontId="5" fillId="0" borderId="22" xfId="0" applyFont="1" applyBorder="1"/>
    <xf numFmtId="165" fontId="5" fillId="7" borderId="35" xfId="13" applyNumberFormat="1" applyFill="1" applyBorder="1" applyAlignment="1">
      <alignment horizontal="center"/>
    </xf>
    <xf numFmtId="165" fontId="5" fillId="7" borderId="42" xfId="13" applyNumberFormat="1" applyFill="1" applyBorder="1" applyAlignment="1">
      <alignment horizontal="center"/>
    </xf>
    <xf numFmtId="165" fontId="5" fillId="7" borderId="2" xfId="13" applyNumberFormat="1" applyFill="1" applyBorder="1" applyAlignment="1">
      <alignment horizontal="center"/>
    </xf>
    <xf numFmtId="165" fontId="5" fillId="7" borderId="44" xfId="13" applyNumberFormat="1" applyFill="1" applyBorder="1" applyAlignment="1">
      <alignment horizontal="center"/>
    </xf>
    <xf numFmtId="165" fontId="5" fillId="7" borderId="26" xfId="13" applyNumberFormat="1" applyFill="1" applyBorder="1" applyAlignment="1">
      <alignment horizontal="center"/>
    </xf>
    <xf numFmtId="165" fontId="5" fillId="7" borderId="50" xfId="13" applyNumberFormat="1" applyFill="1" applyBorder="1" applyAlignment="1">
      <alignment horizontal="center"/>
    </xf>
    <xf numFmtId="0" fontId="5" fillId="2" borderId="74" xfId="0" applyFont="1" applyFill="1" applyBorder="1"/>
    <xf numFmtId="0" fontId="5" fillId="2" borderId="1" xfId="0" applyFont="1" applyFill="1" applyBorder="1" applyAlignment="1">
      <alignment vertical="center"/>
    </xf>
    <xf numFmtId="0" fontId="5" fillId="7" borderId="0" xfId="13" applyFont="1" applyFill="1" applyAlignment="1">
      <alignment horizontal="left" wrapText="1"/>
    </xf>
    <xf numFmtId="0" fontId="5" fillId="7" borderId="0" xfId="13" quotePrefix="1" applyFill="1" applyAlignment="1">
      <alignment horizontal="left" vertical="top" wrapText="1" indent="4"/>
    </xf>
    <xf numFmtId="0" fontId="5" fillId="7" borderId="0" xfId="0" quotePrefix="1" applyFont="1" applyFill="1" applyAlignment="1">
      <alignment horizontal="left" indent="3"/>
    </xf>
    <xf numFmtId="0" fontId="5" fillId="7" borderId="0" xfId="0" quotePrefix="1" applyFont="1" applyFill="1" applyAlignment="1">
      <alignment horizontal="left" indent="6"/>
    </xf>
    <xf numFmtId="0" fontId="5" fillId="7" borderId="0" xfId="0" applyFont="1" applyFill="1" applyAlignment="1"/>
    <xf numFmtId="0" fontId="3" fillId="0" borderId="10" xfId="0" applyFont="1" applyFill="1" applyBorder="1" applyAlignment="1">
      <alignment horizontal="center"/>
    </xf>
    <xf numFmtId="0" fontId="3" fillId="6" borderId="17" xfId="0" applyFont="1" applyFill="1" applyBorder="1"/>
    <xf numFmtId="0" fontId="3" fillId="9" borderId="16" xfId="0" applyFont="1" applyFill="1" applyBorder="1"/>
    <xf numFmtId="0" fontId="3" fillId="9" borderId="17" xfId="0" applyFont="1" applyFill="1" applyBorder="1"/>
    <xf numFmtId="0" fontId="3" fillId="9" borderId="19" xfId="0" applyFont="1" applyFill="1" applyBorder="1"/>
    <xf numFmtId="0" fontId="5" fillId="5" borderId="1" xfId="0" applyFont="1" applyFill="1" applyBorder="1" applyAlignment="1" applyProtection="1">
      <protection locked="0"/>
    </xf>
    <xf numFmtId="0" fontId="5" fillId="5" borderId="2" xfId="0" applyFont="1" applyFill="1" applyBorder="1" applyAlignment="1" applyProtection="1">
      <protection locked="0"/>
    </xf>
    <xf numFmtId="0" fontId="5" fillId="5" borderId="21" xfId="0" applyFont="1" applyFill="1" applyBorder="1" applyAlignment="1" applyProtection="1">
      <protection locked="0"/>
    </xf>
    <xf numFmtId="0" fontId="5" fillId="5" borderId="46" xfId="0" applyFont="1" applyFill="1" applyBorder="1" applyAlignment="1" applyProtection="1">
      <protection locked="0"/>
    </xf>
    <xf numFmtId="0" fontId="5" fillId="5" borderId="26" xfId="0" applyFont="1" applyFill="1" applyBorder="1" applyAlignment="1" applyProtection="1">
      <protection locked="0"/>
    </xf>
    <xf numFmtId="3" fontId="5" fillId="5" borderId="43" xfId="0" applyNumberFormat="1" applyFont="1" applyFill="1" applyBorder="1" applyProtection="1">
      <protection locked="0"/>
    </xf>
    <xf numFmtId="0" fontId="0" fillId="13" borderId="27" xfId="0" applyFill="1" applyBorder="1" applyProtection="1">
      <protection locked="0"/>
    </xf>
    <xf numFmtId="0" fontId="0" fillId="13" borderId="1" xfId="0" applyFill="1" applyBorder="1" applyProtection="1">
      <protection locked="0"/>
    </xf>
    <xf numFmtId="0" fontId="0" fillId="13" borderId="46" xfId="0" applyFill="1" applyBorder="1" applyProtection="1">
      <protection locked="0"/>
    </xf>
    <xf numFmtId="0" fontId="5" fillId="7" borderId="0" xfId="0" applyFont="1" applyFill="1" applyAlignment="1">
      <alignment horizontal="left" indent="1"/>
    </xf>
    <xf numFmtId="0" fontId="3" fillId="3" borderId="7" xfId="0" applyFont="1" applyFill="1" applyBorder="1"/>
    <xf numFmtId="0" fontId="3" fillId="3" borderId="61" xfId="0" applyFont="1" applyFill="1" applyBorder="1" applyAlignment="1">
      <alignment horizontal="center" vertical="top"/>
    </xf>
    <xf numFmtId="0" fontId="3" fillId="3" borderId="30" xfId="0" applyFont="1" applyFill="1" applyBorder="1" applyAlignment="1">
      <alignment horizontal="center" vertical="top"/>
    </xf>
    <xf numFmtId="0" fontId="3" fillId="12" borderId="30" xfId="0" applyFont="1" applyFill="1" applyBorder="1" applyAlignment="1">
      <alignment horizontal="center" vertical="top"/>
    </xf>
    <xf numFmtId="0" fontId="3" fillId="3" borderId="30" xfId="0" applyFont="1" applyFill="1" applyBorder="1" applyAlignment="1">
      <alignment vertical="top"/>
    </xf>
    <xf numFmtId="0" fontId="3" fillId="3" borderId="30" xfId="0" applyFont="1" applyFill="1" applyBorder="1" applyAlignment="1">
      <alignment horizontal="center" vertical="top" wrapText="1"/>
    </xf>
    <xf numFmtId="0" fontId="3" fillId="12" borderId="7" xfId="0" applyFont="1" applyFill="1" applyBorder="1" applyAlignment="1">
      <alignment horizontal="center" vertical="top" wrapText="1"/>
    </xf>
    <xf numFmtId="0" fontId="3" fillId="12" borderId="8" xfId="0" applyFont="1" applyFill="1" applyBorder="1" applyAlignment="1">
      <alignment horizontal="center" vertical="top" wrapText="1"/>
    </xf>
    <xf numFmtId="0" fontId="3" fillId="3" borderId="61" xfId="0" applyFont="1" applyFill="1" applyBorder="1" applyAlignment="1">
      <alignment horizontal="center" vertical="top" wrapText="1"/>
    </xf>
    <xf numFmtId="0" fontId="3" fillId="3" borderId="51" xfId="0" applyFont="1" applyFill="1" applyBorder="1" applyAlignment="1">
      <alignment horizontal="center" vertical="top" wrapText="1"/>
    </xf>
    <xf numFmtId="0" fontId="3" fillId="3" borderId="9" xfId="0" applyFont="1" applyFill="1" applyBorder="1" applyAlignment="1">
      <alignment horizontal="center" vertical="top" wrapText="1"/>
    </xf>
    <xf numFmtId="0" fontId="3" fillId="3" borderId="28" xfId="0" applyFont="1" applyFill="1" applyBorder="1" applyAlignment="1">
      <alignment vertical="top"/>
    </xf>
    <xf numFmtId="0" fontId="3" fillId="3" borderId="61" xfId="0" applyFont="1" applyFill="1" applyBorder="1" applyAlignment="1">
      <alignment vertical="top"/>
    </xf>
    <xf numFmtId="0" fontId="3" fillId="14" borderId="7" xfId="13" applyFont="1" applyFill="1" applyBorder="1"/>
    <xf numFmtId="0" fontId="3" fillId="14" borderId="8" xfId="13" applyFont="1" applyFill="1" applyBorder="1" applyAlignment="1">
      <alignment horizontal="center"/>
    </xf>
    <xf numFmtId="0" fontId="3" fillId="14" borderId="8" xfId="13" quotePrefix="1" applyFont="1" applyFill="1" applyBorder="1" applyAlignment="1">
      <alignment horizontal="center" vertical="top"/>
    </xf>
    <xf numFmtId="0" fontId="3" fillId="14" borderId="9" xfId="13" applyFont="1" applyFill="1" applyBorder="1" applyAlignment="1">
      <alignment horizontal="center"/>
    </xf>
    <xf numFmtId="0" fontId="3" fillId="2" borderId="0" xfId="0" applyFont="1" applyFill="1" applyAlignment="1">
      <alignment horizontal="right"/>
    </xf>
    <xf numFmtId="0" fontId="0" fillId="7" borderId="35" xfId="0" applyFill="1" applyBorder="1"/>
    <xf numFmtId="2" fontId="0" fillId="7" borderId="2" xfId="0" applyNumberFormat="1" applyFill="1" applyBorder="1"/>
    <xf numFmtId="0" fontId="0" fillId="7" borderId="4" xfId="0" applyFill="1" applyBorder="1"/>
    <xf numFmtId="0" fontId="0" fillId="7" borderId="37" xfId="0" applyFill="1" applyBorder="1"/>
    <xf numFmtId="0" fontId="0" fillId="7" borderId="2" xfId="0" applyFill="1" applyBorder="1" applyAlignment="1">
      <alignment horizontal="left"/>
    </xf>
    <xf numFmtId="0" fontId="31" fillId="7" borderId="2" xfId="16" applyFont="1" applyFill="1" applyBorder="1" applyAlignment="1">
      <alignment horizontal="left"/>
    </xf>
    <xf numFmtId="166" fontId="0" fillId="7" borderId="2" xfId="0" applyNumberFormat="1" applyFill="1" applyBorder="1"/>
    <xf numFmtId="166" fontId="0" fillId="7" borderId="4" xfId="0" applyNumberFormat="1" applyFill="1" applyBorder="1"/>
    <xf numFmtId="0" fontId="0" fillId="7" borderId="18" xfId="0" applyFill="1" applyBorder="1"/>
    <xf numFmtId="0" fontId="31" fillId="7" borderId="26" xfId="16" applyFont="1" applyFill="1" applyBorder="1" applyAlignment="1">
      <alignment horizontal="left"/>
    </xf>
    <xf numFmtId="166" fontId="31" fillId="7" borderId="26" xfId="3" applyNumberFormat="1" applyFont="1" applyFill="1" applyBorder="1"/>
    <xf numFmtId="166" fontId="31" fillId="7" borderId="50" xfId="3" applyNumberFormat="1" applyFont="1" applyFill="1" applyBorder="1"/>
    <xf numFmtId="0" fontId="0" fillId="7" borderId="15" xfId="0" applyFill="1" applyBorder="1"/>
    <xf numFmtId="166" fontId="0" fillId="7" borderId="35" xfId="0" applyNumberFormat="1" applyFill="1" applyBorder="1"/>
    <xf numFmtId="0" fontId="0" fillId="7" borderId="42" xfId="0" applyFill="1" applyBorder="1"/>
    <xf numFmtId="0" fontId="0" fillId="7" borderId="44" xfId="0" applyFill="1" applyBorder="1"/>
    <xf numFmtId="166" fontId="0" fillId="7" borderId="44" xfId="0" applyNumberFormat="1" applyFill="1" applyBorder="1"/>
    <xf numFmtId="0" fontId="58" fillId="7" borderId="75" xfId="0" applyFont="1" applyFill="1" applyBorder="1" applyProtection="1"/>
    <xf numFmtId="0" fontId="58" fillId="7" borderId="76" xfId="0" applyFont="1" applyFill="1" applyBorder="1" applyProtection="1"/>
    <xf numFmtId="3" fontId="58" fillId="7" borderId="76" xfId="0" applyNumberFormat="1" applyFont="1" applyFill="1" applyBorder="1" applyProtection="1"/>
    <xf numFmtId="0" fontId="58" fillId="7" borderId="78" xfId="0" applyFont="1" applyFill="1" applyBorder="1" applyProtection="1"/>
    <xf numFmtId="0" fontId="58" fillId="7" borderId="76" xfId="0" applyFont="1" applyFill="1" applyBorder="1"/>
    <xf numFmtId="3" fontId="58" fillId="7" borderId="77" xfId="0" applyNumberFormat="1" applyFont="1" applyFill="1" applyBorder="1" applyProtection="1"/>
    <xf numFmtId="0" fontId="58" fillId="7" borderId="79" xfId="0" applyFont="1" applyFill="1" applyBorder="1" applyAlignment="1" applyProtection="1">
      <alignment horizontal="left"/>
    </xf>
    <xf numFmtId="0" fontId="58" fillId="7" borderId="76" xfId="0" applyFont="1" applyFill="1" applyBorder="1" applyAlignment="1" applyProtection="1">
      <alignment horizontal="left"/>
    </xf>
    <xf numFmtId="0" fontId="58" fillId="7" borderId="78" xfId="0" applyFont="1" applyFill="1" applyBorder="1" applyAlignment="1" applyProtection="1">
      <alignment horizontal="left"/>
    </xf>
    <xf numFmtId="167" fontId="58" fillId="0" borderId="77" xfId="0" applyNumberFormat="1" applyFont="1" applyBorder="1" applyProtection="1"/>
    <xf numFmtId="0" fontId="58" fillId="7" borderId="75" xfId="0" applyFont="1" applyFill="1" applyBorder="1" applyAlignment="1" applyProtection="1">
      <alignment horizontal="left"/>
    </xf>
    <xf numFmtId="167" fontId="58" fillId="7" borderId="80" xfId="0" applyNumberFormat="1" applyFont="1" applyFill="1" applyBorder="1" applyProtection="1"/>
    <xf numFmtId="0" fontId="58" fillId="7" borderId="3" xfId="0" applyFont="1" applyFill="1" applyBorder="1" applyProtection="1">
      <protection locked="0"/>
    </xf>
    <xf numFmtId="0" fontId="58" fillId="7" borderId="21" xfId="0" applyFont="1" applyFill="1" applyBorder="1" applyProtection="1">
      <protection locked="0"/>
    </xf>
    <xf numFmtId="1" fontId="58" fillId="7" borderId="21" xfId="0" applyNumberFormat="1" applyFont="1" applyFill="1" applyBorder="1" applyProtection="1">
      <protection locked="0"/>
    </xf>
    <xf numFmtId="172" fontId="58" fillId="7" borderId="21" xfId="2" applyNumberFormat="1" applyFont="1" applyFill="1" applyBorder="1" applyProtection="1">
      <protection locked="0"/>
    </xf>
    <xf numFmtId="2" fontId="58" fillId="7" borderId="21" xfId="0" applyNumberFormat="1" applyFont="1" applyFill="1" applyBorder="1" applyProtection="1">
      <protection locked="0"/>
    </xf>
    <xf numFmtId="2" fontId="58" fillId="7" borderId="43" xfId="0" applyNumberFormat="1" applyFont="1" applyFill="1" applyBorder="1" applyProtection="1">
      <protection locked="0"/>
    </xf>
    <xf numFmtId="167" fontId="58" fillId="7" borderId="76" xfId="0" applyNumberFormat="1" applyFont="1" applyFill="1" applyBorder="1" applyProtection="1"/>
    <xf numFmtId="167" fontId="58" fillId="7" borderId="77" xfId="0" applyNumberFormat="1" applyFont="1" applyFill="1" applyBorder="1" applyProtection="1"/>
    <xf numFmtId="0" fontId="58" fillId="7" borderId="81" xfId="0" applyFont="1" applyFill="1" applyBorder="1" applyProtection="1"/>
    <xf numFmtId="0" fontId="58" fillId="7" borderId="82" xfId="0" applyFont="1" applyFill="1" applyBorder="1" applyAlignment="1" applyProtection="1"/>
    <xf numFmtId="3" fontId="58" fillId="7" borderId="82" xfId="0" applyNumberFormat="1" applyFont="1" applyFill="1" applyBorder="1" applyProtection="1"/>
    <xf numFmtId="0" fontId="58" fillId="7" borderId="66" xfId="0" applyFont="1" applyFill="1" applyBorder="1"/>
    <xf numFmtId="0" fontId="58" fillId="7" borderId="67" xfId="0" applyFont="1" applyFill="1" applyBorder="1"/>
    <xf numFmtId="3" fontId="58" fillId="7" borderId="67" xfId="0" applyNumberFormat="1" applyFont="1" applyFill="1" applyBorder="1"/>
    <xf numFmtId="167" fontId="58" fillId="7" borderId="67" xfId="0" applyNumberFormat="1" applyFont="1" applyFill="1" applyBorder="1"/>
    <xf numFmtId="167" fontId="58" fillId="7" borderId="83" xfId="0" applyNumberFormat="1" applyFont="1" applyFill="1" applyBorder="1"/>
    <xf numFmtId="0" fontId="58" fillId="7" borderId="79" xfId="0" applyFont="1" applyFill="1" applyBorder="1"/>
    <xf numFmtId="0" fontId="58" fillId="7" borderId="82" xfId="0" applyFont="1" applyFill="1" applyBorder="1"/>
    <xf numFmtId="3" fontId="58" fillId="7" borderId="76" xfId="0" applyNumberFormat="1" applyFont="1" applyFill="1" applyBorder="1"/>
    <xf numFmtId="4" fontId="58" fillId="7" borderId="76" xfId="0" applyNumberFormat="1" applyFont="1" applyFill="1" applyBorder="1"/>
    <xf numFmtId="4" fontId="58" fillId="7" borderId="77" xfId="0" applyNumberFormat="1" applyFont="1" applyFill="1" applyBorder="1"/>
    <xf numFmtId="0" fontId="34" fillId="2" borderId="0" xfId="0" applyFont="1" applyFill="1" applyBorder="1" applyAlignment="1">
      <alignment vertical="center"/>
    </xf>
    <xf numFmtId="0" fontId="5" fillId="7" borderId="2" xfId="0" applyFont="1" applyFill="1" applyBorder="1"/>
    <xf numFmtId="166" fontId="5" fillId="7" borderId="2" xfId="0" applyNumberFormat="1" applyFont="1" applyFill="1" applyBorder="1"/>
    <xf numFmtId="166" fontId="5" fillId="7" borderId="44" xfId="0" applyNumberFormat="1" applyFont="1" applyFill="1" applyBorder="1"/>
    <xf numFmtId="0" fontId="11" fillId="7" borderId="0" xfId="0" applyFont="1" applyFill="1" applyAlignment="1">
      <alignment horizontal="left" vertical="center"/>
    </xf>
    <xf numFmtId="172" fontId="58" fillId="7" borderId="76" xfId="2" applyNumberFormat="1" applyFont="1" applyFill="1" applyBorder="1" applyProtection="1"/>
    <xf numFmtId="0" fontId="12" fillId="0" borderId="0" xfId="0" applyFont="1" applyFill="1"/>
    <xf numFmtId="3" fontId="5" fillId="7" borderId="0" xfId="0" applyNumberFormat="1" applyFont="1" applyFill="1"/>
    <xf numFmtId="4" fontId="3" fillId="2" borderId="0" xfId="0" applyNumberFormat="1" applyFont="1" applyFill="1" applyBorder="1"/>
    <xf numFmtId="2" fontId="56" fillId="7" borderId="67" xfId="0" applyNumberFormat="1" applyFont="1" applyFill="1" applyBorder="1" applyProtection="1"/>
    <xf numFmtId="2" fontId="56" fillId="7" borderId="83" xfId="0" applyNumberFormat="1" applyFont="1" applyFill="1" applyBorder="1" applyProtection="1"/>
    <xf numFmtId="0" fontId="11" fillId="7" borderId="0" xfId="13" applyFont="1" applyFill="1" applyBorder="1"/>
    <xf numFmtId="172" fontId="56" fillId="7" borderId="67" xfId="2" applyNumberFormat="1" applyFont="1" applyFill="1" applyBorder="1" applyProtection="1"/>
    <xf numFmtId="3" fontId="5" fillId="5" borderId="11" xfId="0" applyNumberFormat="1" applyFont="1" applyFill="1" applyBorder="1" applyProtection="1">
      <protection locked="0"/>
    </xf>
    <xf numFmtId="0" fontId="22" fillId="7" borderId="0" xfId="0" applyFont="1" applyFill="1" applyAlignment="1">
      <alignment horizontal="left" vertical="top" wrapText="1"/>
    </xf>
    <xf numFmtId="0" fontId="22" fillId="7" borderId="0" xfId="0" applyFont="1" applyFill="1" applyBorder="1" applyAlignment="1">
      <alignment horizontal="left" wrapText="1"/>
    </xf>
    <xf numFmtId="0" fontId="22" fillId="7" borderId="48" xfId="0" applyFont="1" applyFill="1" applyBorder="1" applyAlignment="1">
      <alignment horizontal="left" wrapText="1"/>
    </xf>
    <xf numFmtId="0" fontId="22" fillId="7" borderId="0" xfId="0" applyFont="1" applyFill="1" applyBorder="1"/>
    <xf numFmtId="3" fontId="5" fillId="13" borderId="21" xfId="0" applyNumberFormat="1" applyFont="1" applyFill="1" applyBorder="1" applyProtection="1">
      <protection locked="0"/>
    </xf>
    <xf numFmtId="0" fontId="5" fillId="7" borderId="45" xfId="0" quotePrefix="1" applyFont="1" applyFill="1" applyBorder="1" applyAlignment="1">
      <alignment horizontal="right" vertical="center"/>
    </xf>
    <xf numFmtId="0" fontId="3" fillId="7" borderId="0" xfId="0" applyFont="1" applyFill="1" applyAlignment="1">
      <alignment vertical="center"/>
    </xf>
    <xf numFmtId="0" fontId="37" fillId="7" borderId="0" xfId="0" applyFont="1" applyFill="1"/>
    <xf numFmtId="0" fontId="22" fillId="7" borderId="0" xfId="0" applyFont="1" applyFill="1"/>
    <xf numFmtId="0" fontId="35" fillId="7" borderId="0" xfId="8" applyFont="1" applyFill="1" applyAlignment="1" applyProtection="1">
      <alignment horizontal="left"/>
    </xf>
    <xf numFmtId="0" fontId="22" fillId="7" borderId="0" xfId="0" quotePrefix="1" applyFont="1" applyFill="1"/>
    <xf numFmtId="0" fontId="22" fillId="7" borderId="0" xfId="0" applyFont="1" applyFill="1" applyAlignment="1">
      <alignment vertical="top" wrapText="1"/>
    </xf>
    <xf numFmtId="0" fontId="37" fillId="8" borderId="28" xfId="0" applyFont="1" applyFill="1" applyBorder="1" applyAlignment="1">
      <alignment vertical="center"/>
    </xf>
    <xf numFmtId="0" fontId="22" fillId="8" borderId="29" xfId="0" applyFont="1" applyFill="1" applyBorder="1" applyAlignment="1">
      <alignment vertical="center"/>
    </xf>
    <xf numFmtId="0" fontId="22" fillId="8" borderId="73" xfId="0" applyFont="1" applyFill="1" applyBorder="1" applyAlignment="1">
      <alignment vertical="center"/>
    </xf>
    <xf numFmtId="0" fontId="22" fillId="8" borderId="70" xfId="0" applyFont="1" applyFill="1" applyBorder="1"/>
    <xf numFmtId="0" fontId="22" fillId="0" borderId="2" xfId="0" applyFont="1" applyBorder="1" applyAlignment="1" applyProtection="1">
      <alignment horizontal="center" vertical="center"/>
      <protection locked="0"/>
    </xf>
    <xf numFmtId="0" fontId="22" fillId="0" borderId="0" xfId="0" applyFont="1"/>
    <xf numFmtId="0" fontId="22" fillId="0" borderId="0" xfId="0" applyFont="1" applyFill="1" applyBorder="1" applyAlignment="1">
      <alignment vertical="center"/>
    </xf>
    <xf numFmtId="0" fontId="22" fillId="0" borderId="0" xfId="0" applyFont="1" applyAlignment="1">
      <alignment vertical="center"/>
    </xf>
    <xf numFmtId="0" fontId="22" fillId="7" borderId="0" xfId="0" applyFont="1" applyFill="1" applyAlignment="1">
      <alignment vertical="center"/>
    </xf>
    <xf numFmtId="0" fontId="22" fillId="7" borderId="21" xfId="0" applyFont="1" applyFill="1" applyBorder="1" applyAlignment="1">
      <alignment vertical="center"/>
    </xf>
    <xf numFmtId="0" fontId="22" fillId="7" borderId="2" xfId="0" applyFont="1" applyFill="1" applyBorder="1" applyAlignment="1" applyProtection="1">
      <alignment horizontal="center" vertical="center"/>
      <protection locked="0"/>
    </xf>
    <xf numFmtId="0" fontId="37" fillId="9" borderId="28" xfId="0" applyFont="1" applyFill="1" applyBorder="1" applyAlignment="1">
      <alignment vertical="center"/>
    </xf>
    <xf numFmtId="0" fontId="22" fillId="9" borderId="29" xfId="0" applyFont="1" applyFill="1" applyBorder="1" applyAlignment="1">
      <alignment vertical="center"/>
    </xf>
    <xf numFmtId="0" fontId="22" fillId="9" borderId="73" xfId="0" applyFont="1" applyFill="1" applyBorder="1" applyAlignment="1">
      <alignment vertical="center"/>
    </xf>
    <xf numFmtId="0" fontId="22" fillId="9" borderId="70" xfId="0" applyFont="1" applyFill="1" applyBorder="1"/>
    <xf numFmtId="0" fontId="38" fillId="2" borderId="0" xfId="0" quotePrefix="1" applyFont="1" applyFill="1"/>
    <xf numFmtId="0" fontId="22" fillId="2" borderId="0" xfId="0" applyFont="1" applyFill="1" applyBorder="1" applyAlignment="1">
      <alignment horizontal="right" vertical="center"/>
    </xf>
    <xf numFmtId="0" fontId="22" fillId="2" borderId="23" xfId="0" applyFont="1" applyFill="1" applyBorder="1" applyAlignment="1">
      <alignment horizontal="right" vertical="center"/>
    </xf>
    <xf numFmtId="0" fontId="22" fillId="2" borderId="0" xfId="0" applyFont="1" applyFill="1" applyBorder="1" applyAlignment="1">
      <alignment horizontal="right"/>
    </xf>
    <xf numFmtId="0" fontId="37" fillId="2" borderId="0" xfId="0" applyFont="1" applyFill="1" applyBorder="1"/>
    <xf numFmtId="0" fontId="39" fillId="2" borderId="0" xfId="0" applyFont="1" applyFill="1"/>
    <xf numFmtId="0" fontId="22" fillId="2" borderId="4" xfId="0" applyFont="1" applyFill="1" applyBorder="1"/>
    <xf numFmtId="0" fontId="22" fillId="2" borderId="5" xfId="0" applyFont="1" applyFill="1" applyBorder="1"/>
    <xf numFmtId="0" fontId="22" fillId="2" borderId="6" xfId="0" applyFont="1" applyFill="1" applyBorder="1"/>
    <xf numFmtId="3" fontId="22" fillId="8" borderId="6" xfId="0" applyNumberFormat="1" applyFont="1" applyFill="1" applyBorder="1"/>
    <xf numFmtId="3" fontId="22" fillId="2" borderId="0" xfId="0" applyNumberFormat="1" applyFont="1" applyFill="1" applyBorder="1"/>
    <xf numFmtId="0" fontId="39" fillId="2" borderId="0" xfId="0" applyFont="1" applyFill="1" applyBorder="1"/>
    <xf numFmtId="3" fontId="22" fillId="9" borderId="6" xfId="0" applyNumberFormat="1" applyFont="1" applyFill="1" applyBorder="1"/>
    <xf numFmtId="0" fontId="22" fillId="2" borderId="56" xfId="0" applyFont="1" applyFill="1" applyBorder="1"/>
    <xf numFmtId="0" fontId="22" fillId="7" borderId="0" xfId="0" quotePrefix="1" applyFont="1" applyFill="1" applyAlignment="1">
      <alignment horizontal="left" wrapText="1"/>
    </xf>
    <xf numFmtId="0" fontId="40" fillId="7" borderId="59" xfId="0" applyFont="1" applyFill="1" applyBorder="1" applyAlignment="1">
      <alignment vertical="center"/>
    </xf>
    <xf numFmtId="0" fontId="41" fillId="7" borderId="59" xfId="0" applyFont="1" applyFill="1" applyBorder="1" applyAlignment="1">
      <alignment vertical="center"/>
    </xf>
    <xf numFmtId="0" fontId="42" fillId="7" borderId="59" xfId="0" applyFont="1" applyFill="1" applyBorder="1" applyAlignment="1">
      <alignment horizontal="right" vertical="center"/>
    </xf>
    <xf numFmtId="17" fontId="42" fillId="7" borderId="59" xfId="0" quotePrefix="1" applyNumberFormat="1" applyFont="1" applyFill="1" applyBorder="1" applyAlignment="1">
      <alignment horizontal="left" vertical="center"/>
    </xf>
    <xf numFmtId="0" fontId="0" fillId="7" borderId="59" xfId="0" applyFill="1" applyBorder="1" applyAlignment="1">
      <alignment vertical="center"/>
    </xf>
    <xf numFmtId="0" fontId="22" fillId="7" borderId="59" xfId="0" applyFont="1" applyFill="1" applyBorder="1"/>
    <xf numFmtId="0" fontId="22" fillId="7" borderId="59" xfId="0" applyFont="1" applyFill="1" applyBorder="1" applyAlignment="1">
      <alignment horizontal="left"/>
    </xf>
    <xf numFmtId="0" fontId="5" fillId="7" borderId="59" xfId="0" applyFont="1" applyFill="1" applyBorder="1" applyAlignment="1">
      <alignment horizontal="right" vertical="top" wrapText="1"/>
    </xf>
    <xf numFmtId="0" fontId="22" fillId="7" borderId="59" xfId="0" applyFont="1" applyFill="1" applyBorder="1" applyAlignment="1">
      <alignment horizontal="left" vertical="center"/>
    </xf>
    <xf numFmtId="0" fontId="35" fillId="7" borderId="0" xfId="8" applyFont="1" applyFill="1" applyBorder="1" applyAlignment="1" applyProtection="1">
      <alignment vertical="center" wrapText="1"/>
    </xf>
    <xf numFmtId="0" fontId="46" fillId="15" borderId="4" xfId="0" applyFont="1" applyFill="1" applyBorder="1" applyAlignment="1">
      <alignment vertical="center"/>
    </xf>
    <xf numFmtId="0" fontId="5" fillId="15" borderId="5" xfId="0" applyFont="1" applyFill="1" applyBorder="1"/>
    <xf numFmtId="0" fontId="0" fillId="15" borderId="6" xfId="0" applyFill="1" applyBorder="1"/>
    <xf numFmtId="0" fontId="5" fillId="7" borderId="45" xfId="0" applyFont="1" applyFill="1" applyBorder="1" applyAlignment="1">
      <alignment vertical="center"/>
    </xf>
    <xf numFmtId="0" fontId="0" fillId="10" borderId="6" xfId="0" applyFill="1" applyBorder="1"/>
    <xf numFmtId="0" fontId="37" fillId="10" borderId="4" xfId="0" applyFont="1" applyFill="1" applyBorder="1" applyAlignment="1">
      <alignment vertical="center"/>
    </xf>
    <xf numFmtId="0" fontId="0" fillId="10" borderId="5" xfId="0" applyFill="1" applyBorder="1"/>
    <xf numFmtId="0" fontId="5" fillId="10" borderId="5" xfId="0" applyFont="1" applyFill="1" applyBorder="1" applyAlignment="1">
      <alignment horizontal="left"/>
    </xf>
    <xf numFmtId="0" fontId="22" fillId="14" borderId="2" xfId="0" applyFont="1" applyFill="1" applyBorder="1" applyAlignment="1" applyProtection="1">
      <alignment horizontal="center" vertical="center"/>
      <protection locked="0"/>
    </xf>
    <xf numFmtId="0" fontId="37" fillId="7" borderId="0" xfId="0" applyFont="1" applyFill="1" applyBorder="1"/>
    <xf numFmtId="0" fontId="48" fillId="7" borderId="85" xfId="0" applyFont="1" applyFill="1" applyBorder="1"/>
    <xf numFmtId="0" fontId="49" fillId="7" borderId="85" xfId="0" applyFont="1" applyFill="1" applyBorder="1"/>
    <xf numFmtId="0" fontId="48" fillId="7" borderId="0" xfId="0" applyFont="1" applyFill="1"/>
    <xf numFmtId="0" fontId="49" fillId="7" borderId="0" xfId="0" applyFont="1" applyFill="1"/>
    <xf numFmtId="0" fontId="0" fillId="7" borderId="0" xfId="0" applyFill="1" applyAlignment="1">
      <alignment horizontal="left"/>
    </xf>
    <xf numFmtId="0" fontId="0" fillId="0" borderId="0" xfId="0" applyAlignment="1">
      <alignment horizontal="left"/>
    </xf>
    <xf numFmtId="0" fontId="37" fillId="7" borderId="85" xfId="0" applyFont="1" applyFill="1" applyBorder="1"/>
    <xf numFmtId="0" fontId="22" fillId="7" borderId="85" xfId="0" applyFont="1" applyFill="1" applyBorder="1"/>
    <xf numFmtId="0" fontId="22" fillId="7" borderId="59" xfId="0" quotePrefix="1" applyFont="1" applyFill="1" applyBorder="1"/>
    <xf numFmtId="0" fontId="43" fillId="7" borderId="0" xfId="0" applyFont="1" applyFill="1"/>
    <xf numFmtId="0" fontId="47" fillId="7" borderId="0" xfId="0" applyFont="1" applyFill="1"/>
    <xf numFmtId="0" fontId="5" fillId="7" borderId="0" xfId="13" applyFont="1" applyFill="1" applyAlignment="1">
      <alignment horizontal="left" wrapText="1" indent="1"/>
    </xf>
    <xf numFmtId="0" fontId="31" fillId="0" borderId="1" xfId="0" applyFont="1" applyBorder="1"/>
    <xf numFmtId="178" fontId="31" fillId="2" borderId="41" xfId="2" applyNumberFormat="1" applyFont="1" applyFill="1" applyBorder="1" applyAlignment="1"/>
    <xf numFmtId="178" fontId="31" fillId="2" borderId="6" xfId="2" applyNumberFormat="1" applyFont="1" applyFill="1" applyBorder="1" applyAlignment="1"/>
    <xf numFmtId="178" fontId="31" fillId="7" borderId="6" xfId="2" applyNumberFormat="1" applyFont="1" applyFill="1" applyBorder="1" applyAlignment="1"/>
    <xf numFmtId="178" fontId="31" fillId="2" borderId="25" xfId="2" applyNumberFormat="1" applyFont="1" applyFill="1" applyBorder="1" applyAlignment="1"/>
    <xf numFmtId="0" fontId="31" fillId="2" borderId="35" xfId="0" applyFont="1" applyFill="1" applyBorder="1" applyAlignment="1">
      <alignment horizontal="left"/>
    </xf>
    <xf numFmtId="0" fontId="31" fillId="2" borderId="26" xfId="0" applyFont="1" applyFill="1" applyBorder="1" applyAlignment="1">
      <alignment horizontal="left"/>
    </xf>
    <xf numFmtId="166" fontId="5" fillId="7" borderId="35" xfId="0" applyNumberFormat="1" applyFont="1" applyFill="1" applyBorder="1"/>
    <xf numFmtId="166" fontId="5" fillId="7" borderId="42" xfId="0" applyNumberFormat="1" applyFont="1" applyFill="1" applyBorder="1"/>
    <xf numFmtId="166" fontId="5" fillId="7" borderId="26" xfId="0" applyNumberFormat="1" applyFont="1" applyFill="1" applyBorder="1"/>
    <xf numFmtId="166" fontId="5" fillId="7" borderId="50" xfId="0" applyNumberFormat="1" applyFont="1" applyFill="1" applyBorder="1"/>
    <xf numFmtId="176" fontId="0" fillId="0" borderId="42" xfId="18" applyNumberFormat="1" applyFont="1" applyBorder="1"/>
    <xf numFmtId="3" fontId="0" fillId="0" borderId="0" xfId="0" applyNumberFormat="1"/>
    <xf numFmtId="0" fontId="5" fillId="7" borderId="0" xfId="0" quotePrefix="1" applyFont="1" applyFill="1" applyAlignment="1">
      <alignment horizontal="left" vertical="center" wrapText="1"/>
    </xf>
    <xf numFmtId="0" fontId="5" fillId="7" borderId="0" xfId="13" quotePrefix="1" applyFill="1" applyAlignment="1">
      <alignment horizontal="left" vertical="top" wrapText="1" indent="4"/>
    </xf>
    <xf numFmtId="0" fontId="5" fillId="7" borderId="0" xfId="13" applyFont="1" applyFill="1" applyAlignment="1">
      <alignment wrapText="1"/>
    </xf>
    <xf numFmtId="0" fontId="5" fillId="7" borderId="0" xfId="13" applyFont="1" applyFill="1" applyAlignment="1">
      <alignment horizontal="left" wrapText="1"/>
    </xf>
    <xf numFmtId="0" fontId="5" fillId="7" borderId="0" xfId="13" applyFill="1" applyAlignment="1">
      <alignment horizontal="left" vertical="top" wrapText="1"/>
    </xf>
    <xf numFmtId="0" fontId="5" fillId="7" borderId="0" xfId="13" applyFont="1" applyFill="1" applyAlignment="1">
      <alignment horizontal="left" wrapText="1" indent="1"/>
    </xf>
    <xf numFmtId="0" fontId="5" fillId="7" borderId="0" xfId="13" applyFill="1" applyAlignment="1">
      <alignment wrapText="1"/>
    </xf>
    <xf numFmtId="0" fontId="3" fillId="7" borderId="0" xfId="13" applyFont="1" applyFill="1" applyBorder="1" applyAlignment="1">
      <alignment horizontal="center"/>
    </xf>
    <xf numFmtId="3" fontId="0" fillId="3" borderId="72" xfId="0" applyNumberFormat="1" applyFill="1" applyBorder="1"/>
    <xf numFmtId="3" fontId="0" fillId="3" borderId="28" xfId="0" applyNumberFormat="1" applyFill="1" applyBorder="1"/>
    <xf numFmtId="3" fontId="0" fillId="3" borderId="73" xfId="0" applyNumberFormat="1" applyFill="1" applyBorder="1"/>
    <xf numFmtId="0" fontId="11" fillId="3" borderId="13" xfId="0" applyFont="1" applyFill="1" applyBorder="1" applyAlignment="1">
      <alignment horizontal="center"/>
    </xf>
    <xf numFmtId="0" fontId="3" fillId="8" borderId="0" xfId="0" applyFont="1" applyFill="1" applyBorder="1" applyAlignment="1">
      <alignment wrapText="1"/>
    </xf>
    <xf numFmtId="0" fontId="3" fillId="8" borderId="19" xfId="0" applyFont="1" applyFill="1" applyBorder="1" applyAlignment="1">
      <alignment wrapText="1"/>
    </xf>
    <xf numFmtId="0" fontId="3" fillId="8" borderId="86" xfId="0" applyFont="1" applyFill="1" applyBorder="1" applyAlignment="1"/>
    <xf numFmtId="0" fontId="3" fillId="8" borderId="87" xfId="0" applyFont="1" applyFill="1" applyBorder="1" applyAlignment="1">
      <alignment wrapText="1"/>
    </xf>
    <xf numFmtId="0" fontId="0" fillId="4" borderId="88" xfId="0" applyFill="1" applyBorder="1"/>
    <xf numFmtId="0" fontId="3" fillId="8" borderId="37" xfId="0" applyFont="1" applyFill="1" applyBorder="1" applyAlignment="1">
      <alignment horizontal="left" indent="3"/>
    </xf>
    <xf numFmtId="0" fontId="3" fillId="8" borderId="18" xfId="0" applyFont="1" applyFill="1" applyBorder="1" applyAlignment="1">
      <alignment horizontal="left" indent="3"/>
    </xf>
    <xf numFmtId="167" fontId="0" fillId="16" borderId="56" xfId="0" applyNumberFormat="1" applyFill="1" applyBorder="1" applyProtection="1"/>
    <xf numFmtId="167" fontId="0" fillId="16" borderId="30" xfId="0" applyNumberFormat="1" applyFill="1" applyBorder="1" applyProtection="1"/>
    <xf numFmtId="167" fontId="0" fillId="16" borderId="51" xfId="0" applyNumberFormat="1" applyFill="1" applyBorder="1" applyProtection="1"/>
    <xf numFmtId="167" fontId="0" fillId="17" borderId="30" xfId="0" applyNumberFormat="1" applyFill="1" applyBorder="1" applyProtection="1"/>
    <xf numFmtId="167" fontId="0" fillId="17" borderId="51" xfId="0" applyNumberFormat="1" applyFill="1" applyBorder="1" applyProtection="1"/>
    <xf numFmtId="3" fontId="5" fillId="16" borderId="21" xfId="0" applyNumberFormat="1" applyFont="1" applyFill="1" applyBorder="1" applyProtection="1">
      <protection locked="0"/>
    </xf>
    <xf numFmtId="167" fontId="3" fillId="8" borderId="47" xfId="0" applyNumberFormat="1" applyFont="1" applyFill="1" applyBorder="1" applyProtection="1"/>
    <xf numFmtId="167" fontId="3" fillId="8" borderId="54" xfId="0" applyNumberFormat="1" applyFont="1" applyFill="1" applyBorder="1" applyProtection="1"/>
    <xf numFmtId="9" fontId="5" fillId="7" borderId="0" xfId="18" applyFont="1" applyFill="1"/>
    <xf numFmtId="0" fontId="2" fillId="7" borderId="0" xfId="8" applyFill="1" applyBorder="1" applyAlignment="1" applyProtection="1">
      <alignment horizontal="left"/>
    </xf>
    <xf numFmtId="2" fontId="5" fillId="16" borderId="2" xfId="0" applyNumberFormat="1" applyFont="1" applyFill="1" applyBorder="1" applyAlignment="1" applyProtection="1">
      <protection locked="0"/>
    </xf>
    <xf numFmtId="2" fontId="5" fillId="16" borderId="44" xfId="0" applyNumberFormat="1" applyFont="1" applyFill="1" applyBorder="1" applyAlignment="1" applyProtection="1">
      <protection locked="0"/>
    </xf>
    <xf numFmtId="2" fontId="5" fillId="16" borderId="2" xfId="0" applyNumberFormat="1" applyFont="1" applyFill="1" applyBorder="1" applyAlignment="1" applyProtection="1">
      <alignment vertical="center"/>
      <protection locked="0"/>
    </xf>
    <xf numFmtId="2" fontId="5" fillId="16" borderId="26" xfId="0" applyNumberFormat="1" applyFont="1" applyFill="1" applyBorder="1" applyAlignment="1" applyProtection="1">
      <protection locked="0"/>
    </xf>
    <xf numFmtId="2" fontId="5" fillId="16" borderId="50" xfId="0" applyNumberFormat="1" applyFont="1" applyFill="1" applyBorder="1" applyAlignment="1" applyProtection="1">
      <protection locked="0"/>
    </xf>
    <xf numFmtId="167" fontId="5" fillId="16" borderId="30" xfId="0" applyNumberFormat="1" applyFont="1" applyFill="1" applyBorder="1" applyProtection="1"/>
    <xf numFmtId="167" fontId="5" fillId="16" borderId="51" xfId="0" applyNumberFormat="1" applyFont="1" applyFill="1" applyBorder="1" applyProtection="1"/>
    <xf numFmtId="167" fontId="5" fillId="17" borderId="30" xfId="0" applyNumberFormat="1" applyFont="1" applyFill="1" applyBorder="1" applyProtection="1"/>
    <xf numFmtId="167" fontId="5" fillId="17" borderId="51" xfId="0" applyNumberFormat="1" applyFont="1" applyFill="1" applyBorder="1" applyProtection="1"/>
    <xf numFmtId="167" fontId="5" fillId="7" borderId="40" xfId="0" applyNumberFormat="1" applyFont="1" applyFill="1" applyBorder="1"/>
    <xf numFmtId="167" fontId="5" fillId="7" borderId="63" xfId="0" applyNumberFormat="1" applyFont="1" applyFill="1" applyBorder="1"/>
    <xf numFmtId="0" fontId="3" fillId="8" borderId="88" xfId="0" applyFont="1" applyFill="1" applyBorder="1" applyAlignment="1">
      <alignment wrapText="1"/>
    </xf>
    <xf numFmtId="0" fontId="12" fillId="7" borderId="0" xfId="0" quotePrefix="1" applyFont="1" applyFill="1"/>
    <xf numFmtId="0" fontId="22" fillId="0" borderId="55" xfId="0" applyFont="1" applyFill="1" applyBorder="1" applyAlignment="1">
      <alignment vertical="center"/>
    </xf>
    <xf numFmtId="0" fontId="22" fillId="0" borderId="59" xfId="0" applyFont="1" applyBorder="1" applyAlignment="1">
      <alignment vertical="center"/>
    </xf>
    <xf numFmtId="0" fontId="22" fillId="7" borderId="59" xfId="0" applyFont="1" applyFill="1" applyBorder="1" applyAlignment="1">
      <alignment vertical="center"/>
    </xf>
    <xf numFmtId="0" fontId="22" fillId="7" borderId="40" xfId="0" applyFont="1" applyFill="1" applyBorder="1" applyAlignment="1">
      <alignment vertical="center"/>
    </xf>
    <xf numFmtId="0" fontId="22" fillId="2" borderId="31" xfId="0" applyFont="1" applyFill="1" applyBorder="1"/>
    <xf numFmtId="3" fontId="22" fillId="8" borderId="54" xfId="0" applyNumberFormat="1" applyFont="1" applyFill="1" applyBorder="1"/>
    <xf numFmtId="3" fontId="22" fillId="8" borderId="73" xfId="0" applyNumberFormat="1" applyFont="1" applyFill="1" applyBorder="1"/>
    <xf numFmtId="165" fontId="5" fillId="7" borderId="0" xfId="13" applyNumberFormat="1" applyFill="1" applyBorder="1" applyAlignment="1">
      <alignment horizontal="center"/>
    </xf>
    <xf numFmtId="165" fontId="5" fillId="7" borderId="19" xfId="13" applyNumberFormat="1" applyFill="1" applyBorder="1" applyAlignment="1">
      <alignment horizontal="center"/>
    </xf>
    <xf numFmtId="165" fontId="5" fillId="7" borderId="54" xfId="13" applyNumberFormat="1" applyFill="1" applyBorder="1" applyAlignment="1">
      <alignment horizontal="center"/>
    </xf>
    <xf numFmtId="2" fontId="5" fillId="7" borderId="2" xfId="13" applyNumberFormat="1" applyFill="1" applyBorder="1" applyAlignment="1">
      <alignment horizontal="center"/>
    </xf>
    <xf numFmtId="2" fontId="5" fillId="7" borderId="44" xfId="13" applyNumberFormat="1" applyFill="1" applyBorder="1" applyAlignment="1">
      <alignment horizontal="center"/>
    </xf>
    <xf numFmtId="2" fontId="5" fillId="7" borderId="26" xfId="13" applyNumberFormat="1" applyFill="1" applyBorder="1" applyAlignment="1">
      <alignment horizontal="center"/>
    </xf>
    <xf numFmtId="2" fontId="5" fillId="7" borderId="50" xfId="13" applyNumberFormat="1" applyFill="1" applyBorder="1" applyAlignment="1">
      <alignment horizontal="center"/>
    </xf>
    <xf numFmtId="2" fontId="5" fillId="7" borderId="0" xfId="13" applyNumberFormat="1" applyFill="1" applyBorder="1" applyAlignment="1">
      <alignment horizontal="center"/>
    </xf>
    <xf numFmtId="0" fontId="57" fillId="7" borderId="0" xfId="13" applyFont="1" applyFill="1"/>
    <xf numFmtId="0" fontId="0" fillId="7" borderId="0" xfId="0" applyFill="1" applyAlignment="1">
      <alignment wrapText="1"/>
    </xf>
    <xf numFmtId="0" fontId="5" fillId="7" borderId="0" xfId="13" quotePrefix="1" applyFill="1" applyAlignment="1">
      <alignment horizontal="left" vertical="top"/>
    </xf>
    <xf numFmtId="0" fontId="5" fillId="7" borderId="0" xfId="13" quotePrefix="1" applyFont="1" applyFill="1" applyAlignment="1">
      <alignment horizontal="right" vertical="top"/>
    </xf>
    <xf numFmtId="43" fontId="5" fillId="7" borderId="0" xfId="2" applyFont="1" applyFill="1"/>
    <xf numFmtId="0" fontId="52" fillId="18" borderId="2" xfId="0" applyFont="1" applyFill="1" applyBorder="1" applyAlignment="1">
      <alignment vertical="center" wrapText="1"/>
    </xf>
    <xf numFmtId="0" fontId="5" fillId="7" borderId="2" xfId="13" applyFont="1" applyFill="1" applyBorder="1" applyAlignment="1">
      <alignment vertical="center" wrapText="1"/>
    </xf>
    <xf numFmtId="3" fontId="22" fillId="8" borderId="2" xfId="0" applyNumberFormat="1" applyFont="1" applyFill="1" applyBorder="1"/>
    <xf numFmtId="0" fontId="22" fillId="2" borderId="23" xfId="0" applyFont="1" applyFill="1" applyBorder="1"/>
    <xf numFmtId="168" fontId="3" fillId="4" borderId="54" xfId="0" applyNumberFormat="1" applyFont="1" applyFill="1" applyBorder="1"/>
    <xf numFmtId="0" fontId="5" fillId="0" borderId="46" xfId="0" applyFont="1" applyBorder="1"/>
    <xf numFmtId="0" fontId="39" fillId="0" borderId="0" xfId="0" applyFont="1" applyFill="1"/>
    <xf numFmtId="0" fontId="22" fillId="0" borderId="0" xfId="0" applyFont="1" applyFill="1" applyBorder="1"/>
    <xf numFmtId="0" fontId="22" fillId="0" borderId="28" xfId="0" applyFont="1" applyFill="1" applyBorder="1"/>
    <xf numFmtId="0" fontId="22" fillId="0" borderId="29" xfId="0" applyFont="1" applyFill="1" applyBorder="1"/>
    <xf numFmtId="0" fontId="22" fillId="0" borderId="18" xfId="0" applyFont="1" applyFill="1" applyBorder="1"/>
    <xf numFmtId="0" fontId="22" fillId="0" borderId="19" xfId="0" applyFont="1" applyFill="1" applyBorder="1"/>
    <xf numFmtId="0" fontId="22" fillId="0" borderId="23" xfId="0" applyFont="1" applyFill="1" applyBorder="1"/>
    <xf numFmtId="0" fontId="22" fillId="0" borderId="4" xfId="0" applyFont="1" applyFill="1" applyBorder="1"/>
    <xf numFmtId="0" fontId="22" fillId="0" borderId="5" xfId="0" applyFont="1" applyFill="1" applyBorder="1"/>
    <xf numFmtId="0" fontId="5" fillId="7" borderId="0" xfId="13" applyFill="1" applyAlignment="1">
      <alignment horizontal="left" vertical="top" wrapText="1"/>
    </xf>
    <xf numFmtId="0" fontId="3" fillId="7" borderId="0" xfId="13" applyFont="1" applyFill="1" applyBorder="1" applyAlignment="1">
      <alignment horizontal="center"/>
    </xf>
    <xf numFmtId="0" fontId="5" fillId="16" borderId="21" xfId="0" applyNumberFormat="1" applyFont="1" applyFill="1" applyBorder="1" applyProtection="1">
      <protection locked="0"/>
    </xf>
    <xf numFmtId="0" fontId="5" fillId="16" borderId="13" xfId="0" applyNumberFormat="1" applyFont="1" applyFill="1" applyBorder="1" applyProtection="1">
      <protection locked="0"/>
    </xf>
    <xf numFmtId="0" fontId="58" fillId="7" borderId="80" xfId="0" applyNumberFormat="1" applyFont="1" applyFill="1" applyBorder="1" applyProtection="1"/>
    <xf numFmtId="0" fontId="58" fillId="7" borderId="8" xfId="0" applyFont="1" applyFill="1" applyBorder="1" applyProtection="1"/>
    <xf numFmtId="3" fontId="58" fillId="7" borderId="8" xfId="0" applyNumberFormat="1" applyFont="1" applyFill="1" applyBorder="1" applyProtection="1"/>
    <xf numFmtId="0" fontId="5" fillId="5" borderId="89" xfId="0" applyFont="1" applyFill="1" applyBorder="1" applyProtection="1">
      <protection locked="0"/>
    </xf>
    <xf numFmtId="3" fontId="5" fillId="5" borderId="89" xfId="0" applyNumberFormat="1" applyFont="1" applyFill="1" applyBorder="1" applyProtection="1">
      <protection locked="0"/>
    </xf>
    <xf numFmtId="0" fontId="5" fillId="0" borderId="0" xfId="13" applyFont="1"/>
    <xf numFmtId="0" fontId="0" fillId="7" borderId="5" xfId="0" applyFill="1" applyBorder="1" applyAlignment="1">
      <alignment vertical="center"/>
    </xf>
    <xf numFmtId="0" fontId="3" fillId="10" borderId="7" xfId="0" applyFont="1" applyFill="1" applyBorder="1"/>
    <xf numFmtId="0" fontId="3" fillId="10" borderId="8" xfId="0" applyFont="1" applyFill="1" applyBorder="1"/>
    <xf numFmtId="0" fontId="3" fillId="10" borderId="9" xfId="0" applyFont="1" applyFill="1" applyBorder="1"/>
    <xf numFmtId="175" fontId="20" fillId="7" borderId="2" xfId="2" applyNumberFormat="1" applyFont="1" applyFill="1" applyBorder="1"/>
    <xf numFmtId="175" fontId="0" fillId="7" borderId="2" xfId="0" applyNumberFormat="1" applyFill="1" applyBorder="1"/>
    <xf numFmtId="164" fontId="0" fillId="7" borderId="2" xfId="0" applyNumberFormat="1" applyFill="1" applyBorder="1"/>
    <xf numFmtId="170" fontId="0" fillId="7" borderId="2" xfId="0" applyNumberFormat="1" applyFill="1" applyBorder="1"/>
    <xf numFmtId="0" fontId="0" fillId="7" borderId="2" xfId="0" applyFill="1" applyBorder="1" applyAlignment="1">
      <alignment vertical="center"/>
    </xf>
    <xf numFmtId="1" fontId="0" fillId="7" borderId="2" xfId="0" applyNumberFormat="1" applyFill="1" applyBorder="1"/>
    <xf numFmtId="0" fontId="5" fillId="0" borderId="0" xfId="13" applyFill="1"/>
    <xf numFmtId="2" fontId="5" fillId="16" borderId="90" xfId="0" applyNumberFormat="1" applyFont="1" applyFill="1" applyBorder="1" applyAlignment="1" applyProtection="1">
      <protection locked="0"/>
    </xf>
    <xf numFmtId="2" fontId="5" fillId="16" borderId="89" xfId="0" applyNumberFormat="1" applyFont="1" applyFill="1" applyBorder="1" applyAlignment="1" applyProtection="1">
      <protection locked="0"/>
    </xf>
    <xf numFmtId="2" fontId="5" fillId="16" borderId="91" xfId="0" applyNumberFormat="1" applyFont="1" applyFill="1" applyBorder="1" applyAlignment="1" applyProtection="1">
      <protection locked="0"/>
    </xf>
    <xf numFmtId="2" fontId="5" fillId="7" borderId="2" xfId="0" applyNumberFormat="1" applyFont="1" applyFill="1" applyBorder="1" applyAlignment="1" applyProtection="1">
      <protection locked="0"/>
    </xf>
    <xf numFmtId="2" fontId="5" fillId="7" borderId="44" xfId="0" applyNumberFormat="1" applyFont="1" applyFill="1" applyBorder="1" applyAlignment="1" applyProtection="1">
      <protection locked="0"/>
    </xf>
    <xf numFmtId="2" fontId="5" fillId="7" borderId="23" xfId="0" applyNumberFormat="1" applyFont="1" applyFill="1" applyBorder="1" applyAlignment="1" applyProtection="1">
      <protection locked="0"/>
    </xf>
    <xf numFmtId="2" fontId="5" fillId="7" borderId="52" xfId="0" applyNumberFormat="1" applyFont="1" applyFill="1" applyBorder="1" applyAlignment="1" applyProtection="1">
      <protection locked="0"/>
    </xf>
    <xf numFmtId="0" fontId="3" fillId="3" borderId="8" xfId="0" applyFont="1" applyFill="1" applyBorder="1" applyAlignment="1">
      <alignment horizontal="center" wrapText="1"/>
    </xf>
    <xf numFmtId="0" fontId="3" fillId="3" borderId="7" xfId="0" applyFont="1" applyFill="1" applyBorder="1" applyAlignment="1">
      <alignment vertical="top"/>
    </xf>
    <xf numFmtId="0" fontId="31" fillId="0" borderId="0" xfId="0" applyFont="1" applyBorder="1"/>
    <xf numFmtId="0" fontId="31" fillId="2" borderId="0" xfId="0" applyFont="1" applyFill="1" applyBorder="1"/>
    <xf numFmtId="0" fontId="31" fillId="0" borderId="0" xfId="0" applyFont="1" applyFill="1" applyBorder="1"/>
    <xf numFmtId="0" fontId="1" fillId="0" borderId="0" xfId="0" applyFont="1" applyFill="1" applyBorder="1"/>
    <xf numFmtId="0" fontId="1" fillId="2" borderId="43" xfId="0" applyFont="1" applyFill="1" applyBorder="1" applyAlignment="1">
      <alignment vertical="center"/>
    </xf>
    <xf numFmtId="0" fontId="0" fillId="2" borderId="54" xfId="0" applyFill="1" applyBorder="1" applyAlignment="1">
      <alignment vertical="center"/>
    </xf>
    <xf numFmtId="1" fontId="0" fillId="2" borderId="26" xfId="0" applyNumberFormat="1" applyFill="1" applyBorder="1" applyAlignment="1">
      <alignment vertical="center"/>
    </xf>
    <xf numFmtId="3" fontId="1" fillId="5" borderId="44" xfId="0" applyNumberFormat="1" applyFont="1" applyFill="1" applyBorder="1" applyProtection="1">
      <protection locked="0"/>
    </xf>
    <xf numFmtId="0" fontId="1" fillId="2" borderId="0" xfId="0" quotePrefix="1" applyFont="1" applyFill="1" applyAlignment="1">
      <alignment horizontal="left" indent="4"/>
    </xf>
    <xf numFmtId="0" fontId="5" fillId="0" borderId="1" xfId="0" applyFont="1" applyFill="1" applyBorder="1" applyAlignment="1">
      <alignment horizontal="left"/>
    </xf>
    <xf numFmtId="0" fontId="3" fillId="3" borderId="31" xfId="0" applyFont="1" applyFill="1" applyBorder="1" applyAlignment="1">
      <alignment horizontal="center"/>
    </xf>
    <xf numFmtId="0" fontId="3" fillId="3" borderId="54"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17" xfId="0" applyFont="1" applyFill="1" applyBorder="1" applyAlignment="1">
      <alignment horizontal="center"/>
    </xf>
    <xf numFmtId="0" fontId="21" fillId="2" borderId="0" xfId="0" applyFont="1" applyFill="1"/>
    <xf numFmtId="0" fontId="1" fillId="2" borderId="27" xfId="0" applyFont="1" applyFill="1" applyBorder="1"/>
    <xf numFmtId="0" fontId="1" fillId="7" borderId="35" xfId="0" applyFont="1" applyFill="1" applyBorder="1"/>
    <xf numFmtId="165" fontId="1" fillId="7" borderId="35" xfId="0" applyNumberFormat="1" applyFont="1" applyFill="1" applyBorder="1"/>
    <xf numFmtId="2" fontId="1" fillId="7" borderId="35" xfId="0" applyNumberFormat="1" applyFont="1" applyFill="1" applyBorder="1"/>
    <xf numFmtId="173" fontId="1" fillId="7" borderId="35" xfId="3" applyNumberFormat="1" applyFont="1" applyFill="1" applyBorder="1"/>
    <xf numFmtId="0" fontId="1" fillId="2" borderId="42" xfId="0" applyFont="1" applyFill="1" applyBorder="1"/>
    <xf numFmtId="0" fontId="1" fillId="0" borderId="1" xfId="0" applyFont="1" applyBorder="1"/>
    <xf numFmtId="0" fontId="1" fillId="7" borderId="2" xfId="0" applyFont="1" applyFill="1" applyBorder="1"/>
    <xf numFmtId="165" fontId="1" fillId="7" borderId="2" xfId="0" applyNumberFormat="1" applyFont="1" applyFill="1" applyBorder="1"/>
    <xf numFmtId="2" fontId="1" fillId="7" borderId="2" xfId="0" applyNumberFormat="1" applyFont="1" applyFill="1" applyBorder="1"/>
    <xf numFmtId="43" fontId="1" fillId="7" borderId="2" xfId="3" applyFont="1" applyFill="1" applyBorder="1"/>
    <xf numFmtId="0" fontId="1" fillId="2" borderId="44" xfId="0" applyFont="1" applyFill="1" applyBorder="1"/>
    <xf numFmtId="0" fontId="1" fillId="2" borderId="1" xfId="0" applyFont="1" applyFill="1" applyBorder="1"/>
    <xf numFmtId="172" fontId="1" fillId="2" borderId="2" xfId="2" applyNumberFormat="1" applyFont="1" applyFill="1" applyBorder="1"/>
    <xf numFmtId="172" fontId="1" fillId="7" borderId="2" xfId="2" applyNumberFormat="1" applyFont="1" applyFill="1" applyBorder="1"/>
    <xf numFmtId="0" fontId="1" fillId="19" borderId="2" xfId="0" applyFont="1" applyFill="1" applyBorder="1"/>
    <xf numFmtId="0" fontId="1" fillId="19" borderId="44" xfId="0" applyFont="1" applyFill="1" applyBorder="1"/>
    <xf numFmtId="0" fontId="1" fillId="0" borderId="1" xfId="0" applyFont="1" applyFill="1" applyBorder="1"/>
    <xf numFmtId="172" fontId="1" fillId="7" borderId="2" xfId="3" applyNumberFormat="1" applyFont="1" applyFill="1" applyBorder="1"/>
    <xf numFmtId="0" fontId="1" fillId="7" borderId="46" xfId="0" applyFont="1" applyFill="1" applyBorder="1"/>
    <xf numFmtId="0" fontId="1" fillId="7" borderId="26" xfId="0" applyFont="1" applyFill="1" applyBorder="1"/>
    <xf numFmtId="173" fontId="1" fillId="7" borderId="26" xfId="3" applyNumberFormat="1" applyFont="1" applyFill="1" applyBorder="1" applyAlignment="1">
      <alignment vertical="center"/>
    </xf>
    <xf numFmtId="174" fontId="1" fillId="7" borderId="26" xfId="3" applyNumberFormat="1" applyFont="1" applyFill="1" applyBorder="1" applyAlignment="1">
      <alignment vertical="center"/>
    </xf>
    <xf numFmtId="0" fontId="1" fillId="2" borderId="50" xfId="0" applyFont="1" applyFill="1" applyBorder="1"/>
    <xf numFmtId="0" fontId="21" fillId="7" borderId="0" xfId="0" applyFont="1" applyFill="1" applyAlignment="1">
      <alignment vertical="top"/>
    </xf>
    <xf numFmtId="0" fontId="21" fillId="7" borderId="0" xfId="0" applyFont="1" applyFill="1" applyAlignment="1">
      <alignment vertical="top" wrapText="1"/>
    </xf>
    <xf numFmtId="0" fontId="1" fillId="2" borderId="35" xfId="0" applyFont="1" applyFill="1" applyBorder="1" applyAlignment="1">
      <alignment horizontal="left"/>
    </xf>
    <xf numFmtId="0" fontId="1" fillId="2" borderId="2" xfId="0" applyFont="1" applyFill="1" applyBorder="1" applyAlignment="1">
      <alignment horizontal="left"/>
    </xf>
    <xf numFmtId="0" fontId="1" fillId="3" borderId="2" xfId="0" applyFont="1" applyFill="1" applyBorder="1"/>
    <xf numFmtId="0" fontId="1" fillId="2" borderId="33" xfId="0" applyFont="1" applyFill="1" applyBorder="1"/>
    <xf numFmtId="0" fontId="1" fillId="3" borderId="11" xfId="0" applyFont="1" applyFill="1" applyBorder="1"/>
    <xf numFmtId="0" fontId="21" fillId="2" borderId="0" xfId="0" applyFont="1" applyFill="1" applyBorder="1" applyAlignment="1">
      <alignment vertical="center"/>
    </xf>
    <xf numFmtId="0" fontId="1" fillId="2" borderId="3" xfId="0" applyFont="1" applyFill="1" applyBorder="1"/>
    <xf numFmtId="0" fontId="1" fillId="2" borderId="46" xfId="0" applyFont="1" applyFill="1" applyBorder="1"/>
    <xf numFmtId="0" fontId="21" fillId="7" borderId="0" xfId="0" applyFont="1" applyFill="1" applyAlignment="1">
      <alignment horizontal="left" vertical="top"/>
    </xf>
    <xf numFmtId="0" fontId="21" fillId="7" borderId="0" xfId="0" applyFont="1" applyFill="1" applyAlignment="1">
      <alignment horizontal="left"/>
    </xf>
    <xf numFmtId="0" fontId="5" fillId="0" borderId="18" xfId="0" applyFont="1" applyFill="1" applyBorder="1"/>
    <xf numFmtId="172" fontId="31" fillId="2" borderId="19" xfId="2" applyNumberFormat="1" applyFont="1" applyFill="1" applyBorder="1" applyAlignment="1">
      <alignment horizontal="right"/>
    </xf>
    <xf numFmtId="172" fontId="31" fillId="2" borderId="0" xfId="2" applyNumberFormat="1" applyFont="1" applyFill="1" applyBorder="1" applyAlignment="1">
      <alignment horizontal="right"/>
    </xf>
    <xf numFmtId="0" fontId="1" fillId="2" borderId="32" xfId="0" applyFont="1" applyFill="1" applyBorder="1"/>
    <xf numFmtId="172" fontId="1" fillId="22" borderId="42" xfId="2" applyNumberFormat="1" applyFont="1" applyFill="1" applyBorder="1"/>
    <xf numFmtId="172" fontId="1" fillId="22" borderId="44" xfId="2" applyNumberFormat="1" applyFont="1" applyFill="1" applyBorder="1"/>
    <xf numFmtId="172" fontId="1" fillId="22" borderId="50" xfId="2" applyNumberFormat="1" applyFont="1" applyFill="1" applyBorder="1" applyAlignment="1">
      <alignment horizontal="right"/>
    </xf>
    <xf numFmtId="0" fontId="21" fillId="0" borderId="37" xfId="0" applyFont="1" applyFill="1" applyBorder="1"/>
    <xf numFmtId="0" fontId="21" fillId="7" borderId="0" xfId="0" applyFont="1" applyFill="1" applyAlignment="1">
      <alignment horizontal="left" vertical="top" wrapText="1"/>
    </xf>
    <xf numFmtId="0" fontId="1" fillId="2" borderId="43" xfId="0" applyFont="1" applyFill="1" applyBorder="1"/>
    <xf numFmtId="176" fontId="0" fillId="0" borderId="50" xfId="18" applyNumberFormat="1" applyFont="1" applyBorder="1"/>
    <xf numFmtId="167" fontId="5" fillId="2" borderId="27" xfId="0" applyNumberFormat="1" applyFont="1" applyFill="1" applyBorder="1"/>
    <xf numFmtId="167" fontId="5" fillId="2" borderId="3" xfId="0" applyNumberFormat="1" applyFont="1" applyFill="1" applyBorder="1"/>
    <xf numFmtId="167" fontId="5" fillId="7" borderId="10" xfId="0" applyNumberFormat="1" applyFont="1" applyFill="1" applyBorder="1"/>
    <xf numFmtId="167" fontId="5" fillId="7" borderId="31" xfId="0" applyNumberFormat="1" applyFont="1" applyFill="1" applyBorder="1"/>
    <xf numFmtId="167" fontId="5" fillId="7" borderId="54" xfId="0" applyNumberFormat="1" applyFont="1" applyFill="1" applyBorder="1"/>
    <xf numFmtId="0" fontId="1" fillId="2" borderId="21" xfId="0" applyFont="1" applyFill="1" applyBorder="1" applyAlignment="1">
      <alignment horizontal="left"/>
    </xf>
    <xf numFmtId="0" fontId="31" fillId="7" borderId="21" xfId="16" applyFont="1" applyFill="1" applyBorder="1" applyAlignment="1">
      <alignment horizontal="left"/>
    </xf>
    <xf numFmtId="167" fontId="0" fillId="2" borderId="60" xfId="0" applyNumberFormat="1" applyFill="1" applyBorder="1" applyAlignment="1">
      <alignment horizontal="right"/>
    </xf>
    <xf numFmtId="167" fontId="0" fillId="2" borderId="63" xfId="0" applyNumberFormat="1" applyFill="1" applyBorder="1" applyAlignment="1">
      <alignment horizontal="right"/>
    </xf>
    <xf numFmtId="167" fontId="0" fillId="2" borderId="54" xfId="0" applyNumberFormat="1" applyFill="1" applyBorder="1" applyAlignment="1">
      <alignment horizontal="right"/>
    </xf>
    <xf numFmtId="0" fontId="0" fillId="7" borderId="2" xfId="0" applyFill="1" applyBorder="1" applyAlignment="1">
      <alignment horizontal="left"/>
    </xf>
    <xf numFmtId="0" fontId="5" fillId="7" borderId="0" xfId="13" applyFont="1" applyFill="1" applyAlignment="1">
      <alignment horizontal="left" wrapText="1"/>
    </xf>
    <xf numFmtId="0" fontId="2" fillId="7" borderId="0" xfId="8" applyFill="1" applyAlignment="1" applyProtection="1">
      <alignment horizontal="left" vertical="center"/>
    </xf>
    <xf numFmtId="167" fontId="5" fillId="2" borderId="6" xfId="0" applyNumberFormat="1" applyFont="1" applyFill="1" applyBorder="1"/>
    <xf numFmtId="167" fontId="5" fillId="2" borderId="25" xfId="0" applyNumberFormat="1" applyFont="1" applyFill="1" applyBorder="1"/>
    <xf numFmtId="164" fontId="5" fillId="2" borderId="36" xfId="0" applyNumberFormat="1" applyFont="1" applyFill="1" applyBorder="1"/>
    <xf numFmtId="164" fontId="5" fillId="0" borderId="36" xfId="0" applyNumberFormat="1" applyFont="1" applyBorder="1"/>
    <xf numFmtId="164" fontId="5" fillId="2" borderId="62" xfId="0" applyNumberFormat="1" applyFont="1" applyFill="1" applyBorder="1"/>
    <xf numFmtId="164" fontId="5" fillId="2" borderId="4" xfId="0" applyNumberFormat="1" applyFont="1" applyFill="1" applyBorder="1"/>
    <xf numFmtId="164" fontId="5" fillId="0" borderId="4" xfId="0" applyNumberFormat="1" applyFont="1" applyBorder="1"/>
    <xf numFmtId="164" fontId="5" fillId="2" borderId="60" xfId="0" applyNumberFormat="1" applyFont="1" applyFill="1" applyBorder="1"/>
    <xf numFmtId="164" fontId="5" fillId="2" borderId="38" xfId="0" applyNumberFormat="1" applyFont="1" applyFill="1" applyBorder="1"/>
    <xf numFmtId="164" fontId="5" fillId="0" borderId="38" xfId="0" applyNumberFormat="1" applyFont="1" applyBorder="1"/>
    <xf numFmtId="164" fontId="5" fillId="2" borderId="84" xfId="0" applyNumberFormat="1" applyFont="1" applyFill="1" applyBorder="1"/>
    <xf numFmtId="0" fontId="31" fillId="7" borderId="23" xfId="16" applyFont="1" applyFill="1" applyBorder="1" applyAlignment="1">
      <alignment horizontal="left"/>
    </xf>
    <xf numFmtId="166" fontId="0" fillId="7" borderId="23" xfId="0" applyNumberFormat="1" applyFill="1" applyBorder="1"/>
    <xf numFmtId="166" fontId="0" fillId="7" borderId="58" xfId="0" applyNumberFormat="1" applyFill="1" applyBorder="1"/>
    <xf numFmtId="0" fontId="0" fillId="2" borderId="21" xfId="0" applyFill="1" applyBorder="1" applyAlignment="1">
      <alignment horizontal="left"/>
    </xf>
    <xf numFmtId="0" fontId="0" fillId="7" borderId="21" xfId="0" applyFill="1" applyBorder="1"/>
    <xf numFmtId="0" fontId="3" fillId="3" borderId="30" xfId="0" applyFont="1" applyFill="1" applyBorder="1" applyAlignment="1">
      <alignment horizontal="center" vertical="center" wrapText="1"/>
    </xf>
    <xf numFmtId="179" fontId="1" fillId="0" borderId="2" xfId="2" applyNumberFormat="1" applyFont="1" applyBorder="1"/>
    <xf numFmtId="179" fontId="1" fillId="0" borderId="44" xfId="2" applyNumberFormat="1" applyFont="1" applyBorder="1"/>
    <xf numFmtId="0" fontId="1" fillId="2" borderId="0" xfId="0" applyFont="1" applyFill="1" applyAlignment="1">
      <alignment horizontal="left"/>
    </xf>
    <xf numFmtId="179" fontId="1" fillId="0" borderId="2" xfId="2" applyNumberFormat="1" applyFont="1" applyBorder="1" applyAlignment="1">
      <alignment horizontal="right"/>
    </xf>
    <xf numFmtId="179" fontId="1" fillId="0" borderId="44" xfId="2" applyNumberFormat="1" applyFont="1" applyBorder="1" applyAlignment="1">
      <alignment horizontal="right"/>
    </xf>
    <xf numFmtId="0" fontId="1" fillId="2" borderId="6" xfId="0" applyFont="1" applyFill="1" applyBorder="1"/>
    <xf numFmtId="0" fontId="1" fillId="2" borderId="2" xfId="0" applyFont="1" applyFill="1" applyBorder="1"/>
    <xf numFmtId="0" fontId="1" fillId="2" borderId="11" xfId="0" applyFont="1" applyFill="1" applyBorder="1"/>
    <xf numFmtId="179" fontId="1" fillId="0" borderId="26" xfId="2" applyNumberFormat="1" applyFont="1" applyBorder="1"/>
    <xf numFmtId="179" fontId="1" fillId="0" borderId="50" xfId="2" applyNumberFormat="1" applyFont="1" applyBorder="1"/>
    <xf numFmtId="0" fontId="3" fillId="3" borderId="61" xfId="0" applyFont="1" applyFill="1" applyBorder="1" applyAlignment="1">
      <alignment horizontal="center" vertical="center" wrapText="1"/>
    </xf>
    <xf numFmtId="0" fontId="3" fillId="3" borderId="51" xfId="0" applyFont="1" applyFill="1" applyBorder="1" applyAlignment="1">
      <alignment horizontal="center" vertical="center" wrapText="1"/>
    </xf>
    <xf numFmtId="43" fontId="1" fillId="0" borderId="2" xfId="0" applyNumberFormat="1" applyFont="1" applyBorder="1"/>
    <xf numFmtId="43" fontId="1" fillId="0" borderId="44" xfId="0" applyNumberFormat="1" applyFont="1" applyBorder="1"/>
    <xf numFmtId="0" fontId="1" fillId="2" borderId="48" xfId="0" applyFont="1" applyFill="1" applyBorder="1"/>
    <xf numFmtId="0" fontId="1" fillId="2" borderId="25" xfId="0" applyFont="1" applyFill="1" applyBorder="1"/>
    <xf numFmtId="43" fontId="1" fillId="0" borderId="26" xfId="0" applyNumberFormat="1" applyFont="1" applyBorder="1"/>
    <xf numFmtId="43" fontId="1" fillId="0" borderId="50" xfId="0" applyNumberFormat="1" applyFont="1" applyBorder="1"/>
    <xf numFmtId="0" fontId="1" fillId="0" borderId="27" xfId="0" applyFont="1" applyBorder="1"/>
    <xf numFmtId="0" fontId="1" fillId="0" borderId="42" xfId="0" applyFont="1" applyBorder="1"/>
    <xf numFmtId="0" fontId="1" fillId="0" borderId="44" xfId="0" applyFont="1" applyBorder="1"/>
    <xf numFmtId="0" fontId="1" fillId="0" borderId="46" xfId="0" applyFont="1" applyBorder="1"/>
    <xf numFmtId="0" fontId="1" fillId="0" borderId="50" xfId="0" applyFont="1" applyBorder="1"/>
    <xf numFmtId="0" fontId="1" fillId="0" borderId="43" xfId="0" applyFont="1" applyBorder="1"/>
    <xf numFmtId="0" fontId="1" fillId="0" borderId="33" xfId="0" applyFont="1" applyBorder="1"/>
    <xf numFmtId="0" fontId="1" fillId="0" borderId="1" xfId="0" applyFont="1" applyBorder="1" applyAlignment="1">
      <alignment wrapText="1"/>
    </xf>
    <xf numFmtId="180" fontId="1" fillId="0" borderId="35" xfId="2" applyNumberFormat="1" applyFont="1" applyBorder="1"/>
    <xf numFmtId="180" fontId="1" fillId="0" borderId="2" xfId="2" applyNumberFormat="1" applyFont="1" applyBorder="1"/>
    <xf numFmtId="180" fontId="1" fillId="0" borderId="26" xfId="2" applyNumberFormat="1" applyFont="1" applyBorder="1"/>
    <xf numFmtId="0" fontId="1" fillId="0" borderId="3" xfId="0" applyFont="1" applyBorder="1"/>
    <xf numFmtId="180" fontId="1" fillId="0" borderId="13" xfId="2" applyNumberFormat="1" applyFont="1" applyBorder="1"/>
    <xf numFmtId="179" fontId="1" fillId="0" borderId="13" xfId="2" applyNumberFormat="1" applyFont="1" applyBorder="1"/>
    <xf numFmtId="0" fontId="1" fillId="0" borderId="39" xfId="0" applyFont="1" applyBorder="1"/>
    <xf numFmtId="180" fontId="1" fillId="0" borderId="23" xfId="2" applyNumberFormat="1" applyFont="1" applyBorder="1"/>
    <xf numFmtId="179" fontId="1" fillId="0" borderId="23" xfId="2" applyNumberFormat="1" applyFont="1" applyBorder="1"/>
    <xf numFmtId="179" fontId="1" fillId="0" borderId="6" xfId="2" applyNumberFormat="1" applyFont="1" applyBorder="1"/>
    <xf numFmtId="180" fontId="1" fillId="0" borderId="21" xfId="2" applyNumberFormat="1" applyFont="1" applyBorder="1"/>
    <xf numFmtId="179" fontId="1" fillId="0" borderId="11" xfId="2" applyNumberFormat="1" applyFont="1" applyBorder="1"/>
    <xf numFmtId="179" fontId="1" fillId="0" borderId="35" xfId="2" applyNumberFormat="1" applyFont="1" applyBorder="1"/>
    <xf numFmtId="181" fontId="1" fillId="0" borderId="26" xfId="2" quotePrefix="1" applyNumberFormat="1" applyFont="1" applyBorder="1" applyAlignment="1">
      <alignment horizontal="right"/>
    </xf>
    <xf numFmtId="167" fontId="0" fillId="2" borderId="62" xfId="0" applyNumberFormat="1" applyFill="1" applyBorder="1" applyAlignment="1">
      <alignment horizontal="right"/>
    </xf>
    <xf numFmtId="0" fontId="1" fillId="2" borderId="19" xfId="0" applyFont="1" applyFill="1" applyBorder="1" applyAlignment="1">
      <alignment horizontal="left"/>
    </xf>
    <xf numFmtId="167" fontId="0" fillId="2" borderId="84" xfId="0" applyNumberFormat="1" applyFill="1" applyBorder="1" applyAlignment="1">
      <alignment horizontal="right"/>
    </xf>
    <xf numFmtId="0" fontId="1" fillId="2" borderId="26" xfId="0" applyFont="1" applyFill="1" applyBorder="1" applyAlignment="1">
      <alignment horizontal="left"/>
    </xf>
    <xf numFmtId="167" fontId="0" fillId="2" borderId="11" xfId="0" applyNumberFormat="1" applyFill="1" applyBorder="1" applyAlignment="1">
      <alignment horizontal="right"/>
    </xf>
    <xf numFmtId="0" fontId="1" fillId="0" borderId="0" xfId="0" applyFont="1"/>
    <xf numFmtId="0" fontId="1" fillId="0" borderId="0" xfId="0" applyFont="1" applyFill="1"/>
    <xf numFmtId="0" fontId="1" fillId="0" borderId="6" xfId="0" applyFont="1" applyFill="1" applyBorder="1"/>
    <xf numFmtId="0" fontId="1" fillId="0" borderId="2" xfId="0" applyFont="1" applyFill="1" applyBorder="1"/>
    <xf numFmtId="0" fontId="1" fillId="0" borderId="41" xfId="0" applyFont="1" applyFill="1" applyBorder="1"/>
    <xf numFmtId="0" fontId="1" fillId="3" borderId="35" xfId="0" applyFont="1" applyFill="1" applyBorder="1"/>
    <xf numFmtId="0" fontId="1" fillId="0" borderId="25" xfId="0" applyFont="1" applyFill="1" applyBorder="1"/>
    <xf numFmtId="0" fontId="1" fillId="3" borderId="26" xfId="0" applyFont="1" applyFill="1" applyBorder="1"/>
    <xf numFmtId="167" fontId="0" fillId="2" borderId="12" xfId="0" applyNumberFormat="1" applyFill="1" applyBorder="1" applyAlignment="1">
      <alignment horizontal="right"/>
    </xf>
    <xf numFmtId="3" fontId="1" fillId="0" borderId="35" xfId="0" applyNumberFormat="1" applyFont="1" applyFill="1" applyBorder="1"/>
    <xf numFmtId="3" fontId="1" fillId="0" borderId="2" xfId="0" applyNumberFormat="1" applyFont="1" applyFill="1" applyBorder="1"/>
    <xf numFmtId="0" fontId="3" fillId="3" borderId="8" xfId="0" applyFont="1" applyFill="1" applyBorder="1" applyAlignment="1">
      <alignment horizontal="center" vertical="top" wrapText="1"/>
    </xf>
    <xf numFmtId="0" fontId="3" fillId="3" borderId="15" xfId="0" applyFont="1" applyFill="1" applyBorder="1" applyAlignment="1">
      <alignment vertical="top"/>
    </xf>
    <xf numFmtId="0" fontId="3" fillId="3" borderId="8" xfId="0" applyFont="1" applyFill="1" applyBorder="1" applyAlignment="1">
      <alignment horizontal="center" vertical="center" wrapText="1"/>
    </xf>
    <xf numFmtId="0" fontId="1" fillId="2" borderId="20" xfId="0" applyFont="1" applyFill="1" applyBorder="1"/>
    <xf numFmtId="167" fontId="0" fillId="2" borderId="13" xfId="0" applyNumberFormat="1" applyFill="1" applyBorder="1"/>
    <xf numFmtId="167" fontId="0" fillId="2" borderId="35" xfId="0" applyNumberFormat="1" applyFill="1" applyBorder="1"/>
    <xf numFmtId="167" fontId="0" fillId="2" borderId="42" xfId="0" applyNumberFormat="1" applyFill="1" applyBorder="1"/>
    <xf numFmtId="167" fontId="0" fillId="2" borderId="14" xfId="0" applyNumberFormat="1" applyFill="1" applyBorder="1"/>
    <xf numFmtId="0" fontId="1" fillId="0" borderId="48" xfId="0" applyFont="1" applyFill="1" applyBorder="1"/>
    <xf numFmtId="0" fontId="3" fillId="3" borderId="61" xfId="0" applyFont="1" applyFill="1" applyBorder="1" applyAlignment="1">
      <alignment horizontal="center" vertical="center"/>
    </xf>
    <xf numFmtId="0" fontId="3" fillId="3" borderId="30" xfId="0" applyFont="1" applyFill="1" applyBorder="1" applyAlignment="1">
      <alignment horizontal="center" vertical="center"/>
    </xf>
    <xf numFmtId="2" fontId="3" fillId="23" borderId="30" xfId="25" applyNumberFormat="1" applyFont="1" applyFill="1" applyBorder="1" applyAlignment="1">
      <alignment horizontal="center" vertical="center" wrapText="1"/>
    </xf>
    <xf numFmtId="2" fontId="3" fillId="23" borderId="51" xfId="25" applyNumberFormat="1" applyFont="1" applyFill="1" applyBorder="1" applyAlignment="1">
      <alignment horizontal="center" vertical="center" wrapText="1"/>
    </xf>
    <xf numFmtId="2" fontId="1" fillId="2" borderId="0" xfId="25" applyNumberFormat="1" applyFont="1" applyFill="1" applyAlignment="1">
      <alignment vertical="center"/>
    </xf>
    <xf numFmtId="2" fontId="3" fillId="23" borderId="61" xfId="25" applyNumberFormat="1" applyFont="1" applyFill="1" applyBorder="1" applyAlignment="1">
      <alignment horizontal="center" vertical="center" wrapText="1"/>
    </xf>
    <xf numFmtId="182" fontId="1" fillId="0" borderId="27" xfId="0" applyNumberFormat="1" applyFont="1" applyBorder="1"/>
    <xf numFmtId="43" fontId="1" fillId="0" borderId="35" xfId="2" applyBorder="1" applyAlignment="1">
      <alignment horizontal="right"/>
    </xf>
    <xf numFmtId="0" fontId="1" fillId="0" borderId="35" xfId="0" applyFont="1" applyBorder="1" applyAlignment="1">
      <alignment horizontal="right"/>
    </xf>
    <xf numFmtId="0" fontId="1" fillId="0" borderId="42" xfId="0" applyFont="1" applyBorder="1" applyAlignment="1">
      <alignment horizontal="right"/>
    </xf>
    <xf numFmtId="182" fontId="1" fillId="0" borderId="1" xfId="0" applyNumberFormat="1" applyFont="1" applyBorder="1"/>
    <xf numFmtId="43" fontId="1" fillId="0" borderId="2" xfId="2" applyBorder="1" applyAlignment="1">
      <alignment horizontal="right"/>
    </xf>
    <xf numFmtId="0" fontId="1" fillId="0" borderId="2" xfId="0" applyFont="1" applyBorder="1" applyAlignment="1">
      <alignment horizontal="right"/>
    </xf>
    <xf numFmtId="0" fontId="1" fillId="0" borderId="44" xfId="0" applyFont="1" applyBorder="1" applyAlignment="1">
      <alignment horizontal="right"/>
    </xf>
    <xf numFmtId="2" fontId="1" fillId="0" borderId="2" xfId="0" applyNumberFormat="1" applyFont="1" applyBorder="1" applyAlignment="1">
      <alignment horizontal="right"/>
    </xf>
    <xf numFmtId="2" fontId="1" fillId="0" borderId="44" xfId="0" applyNumberFormat="1" applyFont="1" applyBorder="1" applyAlignment="1">
      <alignment horizontal="right"/>
    </xf>
    <xf numFmtId="180" fontId="1" fillId="0" borderId="2" xfId="2" applyNumberFormat="1" applyBorder="1" applyAlignment="1">
      <alignment horizontal="right"/>
    </xf>
    <xf numFmtId="182" fontId="1" fillId="0" borderId="46" xfId="0" applyNumberFormat="1" applyFont="1" applyBorder="1"/>
    <xf numFmtId="43" fontId="1" fillId="0" borderId="26" xfId="2" applyBorder="1" applyAlignment="1">
      <alignment horizontal="right"/>
    </xf>
    <xf numFmtId="0" fontId="1" fillId="0" borderId="26" xfId="0" applyFont="1" applyBorder="1" applyAlignment="1">
      <alignment horizontal="right"/>
    </xf>
    <xf numFmtId="0" fontId="1" fillId="0" borderId="50" xfId="0" applyFont="1" applyBorder="1" applyAlignment="1">
      <alignment horizontal="right"/>
    </xf>
    <xf numFmtId="173" fontId="1" fillId="0" borderId="2" xfId="2" applyNumberFormat="1" applyBorder="1" applyAlignment="1">
      <alignment horizontal="right"/>
    </xf>
    <xf numFmtId="183" fontId="1" fillId="0" borderId="2" xfId="2" applyNumberFormat="1" applyBorder="1" applyAlignment="1">
      <alignment horizontal="right"/>
    </xf>
    <xf numFmtId="0" fontId="3" fillId="3" borderId="61" xfId="0" applyFont="1" applyFill="1" applyBorder="1" applyAlignment="1"/>
    <xf numFmtId="0" fontId="5" fillId="0" borderId="1" xfId="0" applyFont="1" applyFill="1" applyBorder="1" applyAlignment="1"/>
    <xf numFmtId="0" fontId="5" fillId="0" borderId="3" xfId="0" applyFont="1" applyFill="1" applyBorder="1" applyAlignment="1"/>
    <xf numFmtId="0" fontId="22" fillId="7" borderId="0" xfId="0" applyFont="1" applyFill="1" applyAlignment="1">
      <alignment horizontal="left" vertical="top" wrapText="1"/>
    </xf>
    <xf numFmtId="0" fontId="58" fillId="7" borderId="35" xfId="0" applyFont="1" applyFill="1" applyBorder="1" applyProtection="1"/>
    <xf numFmtId="171" fontId="0" fillId="2" borderId="6" xfId="2" applyNumberFormat="1" applyFont="1" applyFill="1" applyBorder="1"/>
    <xf numFmtId="3" fontId="0" fillId="2" borderId="25" xfId="0" applyNumberFormat="1" applyFill="1" applyBorder="1" applyAlignment="1">
      <alignment vertical="center"/>
    </xf>
    <xf numFmtId="0" fontId="0" fillId="2" borderId="74" xfId="0" applyFill="1" applyBorder="1" applyAlignment="1">
      <alignment vertical="center"/>
    </xf>
    <xf numFmtId="0" fontId="0" fillId="2" borderId="85" xfId="0" applyFill="1" applyBorder="1" applyAlignment="1">
      <alignment vertical="center"/>
    </xf>
    <xf numFmtId="0" fontId="0" fillId="2" borderId="94" xfId="0" applyFill="1" applyBorder="1" applyAlignment="1">
      <alignment vertical="center"/>
    </xf>
    <xf numFmtId="0" fontId="5" fillId="0" borderId="1" xfId="0" applyFont="1" applyFill="1" applyBorder="1" applyAlignment="1">
      <alignment horizontal="left"/>
    </xf>
    <xf numFmtId="0" fontId="5" fillId="0" borderId="46" xfId="0" applyFont="1" applyFill="1" applyBorder="1" applyAlignment="1">
      <alignment horizontal="left"/>
    </xf>
    <xf numFmtId="3" fontId="0" fillId="2" borderId="11" xfId="0" applyNumberFormat="1" applyFill="1" applyBorder="1" applyAlignment="1">
      <alignment horizontal="right"/>
    </xf>
    <xf numFmtId="3" fontId="0" fillId="2" borderId="35" xfId="0" applyNumberFormat="1" applyFill="1" applyBorder="1" applyAlignment="1">
      <alignment horizontal="right"/>
    </xf>
    <xf numFmtId="3" fontId="0" fillId="2" borderId="21" xfId="0" applyNumberFormat="1" applyFill="1" applyBorder="1" applyAlignment="1">
      <alignment horizontal="right"/>
    </xf>
    <xf numFmtId="0" fontId="1" fillId="2" borderId="41" xfId="0" applyFont="1" applyFill="1" applyBorder="1"/>
    <xf numFmtId="43" fontId="1" fillId="0" borderId="35" xfId="0" quotePrefix="1" applyNumberFormat="1" applyFont="1" applyBorder="1" applyAlignment="1">
      <alignment horizontal="right"/>
    </xf>
    <xf numFmtId="43" fontId="1" fillId="0" borderId="42" xfId="0" applyNumberFormat="1" applyFont="1" applyBorder="1"/>
    <xf numFmtId="43" fontId="1" fillId="0" borderId="35" xfId="0" applyNumberFormat="1" applyFont="1" applyBorder="1"/>
    <xf numFmtId="43" fontId="1" fillId="0" borderId="13" xfId="0" applyNumberFormat="1" applyFont="1" applyBorder="1"/>
    <xf numFmtId="43" fontId="1" fillId="0" borderId="14" xfId="0" applyNumberFormat="1" applyFont="1" applyBorder="1"/>
    <xf numFmtId="0" fontId="1" fillId="7" borderId="0" xfId="13" applyFont="1" applyFill="1"/>
    <xf numFmtId="0" fontId="0" fillId="2" borderId="43" xfId="0" applyFill="1" applyBorder="1"/>
    <xf numFmtId="0" fontId="65" fillId="7" borderId="0" xfId="0" applyFont="1" applyFill="1" applyBorder="1"/>
    <xf numFmtId="3" fontId="1" fillId="5" borderId="2" xfId="0" applyNumberFormat="1" applyFont="1" applyFill="1" applyBorder="1" applyProtection="1">
      <protection locked="0"/>
    </xf>
    <xf numFmtId="0" fontId="1" fillId="0" borderId="0" xfId="0" applyFont="1" applyFill="1" applyBorder="1" applyAlignment="1">
      <alignment horizontal="right"/>
    </xf>
    <xf numFmtId="2" fontId="1" fillId="0" borderId="0" xfId="0" applyNumberFormat="1" applyFont="1" applyFill="1" applyBorder="1" applyAlignment="1">
      <alignment horizontal="right"/>
    </xf>
    <xf numFmtId="0" fontId="1" fillId="0" borderId="0" xfId="0" applyFont="1" applyFill="1" applyBorder="1" applyAlignment="1">
      <alignment horizontal="left"/>
    </xf>
    <xf numFmtId="43" fontId="1" fillId="0" borderId="0" xfId="2" applyFont="1" applyFill="1" applyBorder="1" applyAlignment="1">
      <alignment horizontal="left"/>
    </xf>
    <xf numFmtId="2" fontId="1" fillId="0" borderId="0" xfId="0" applyNumberFormat="1" applyFont="1" applyFill="1" applyBorder="1" applyAlignment="1">
      <alignment horizontal="left"/>
    </xf>
    <xf numFmtId="2" fontId="1" fillId="0" borderId="0" xfId="25" applyNumberFormat="1" applyFont="1" applyFill="1" applyBorder="1" applyAlignment="1">
      <alignment horizontal="left" vertical="center"/>
    </xf>
    <xf numFmtId="0" fontId="1" fillId="7" borderId="0" xfId="0" applyFont="1" applyFill="1"/>
    <xf numFmtId="43" fontId="1" fillId="7" borderId="0" xfId="0" applyNumberFormat="1" applyFont="1" applyFill="1"/>
    <xf numFmtId="0" fontId="2" fillId="7" borderId="0" xfId="8" applyFill="1" applyAlignment="1" applyProtection="1">
      <alignment horizontal="left" wrapText="1"/>
    </xf>
    <xf numFmtId="0" fontId="1" fillId="7" borderId="0" xfId="13" applyFont="1" applyFill="1" applyAlignment="1">
      <alignment horizontal="left" indent="2"/>
    </xf>
    <xf numFmtId="182" fontId="3" fillId="0" borderId="0" xfId="0" applyNumberFormat="1" applyFont="1" applyBorder="1"/>
    <xf numFmtId="0" fontId="1" fillId="0" borderId="21" xfId="0" applyFont="1" applyBorder="1" applyAlignment="1">
      <alignment horizontal="left"/>
    </xf>
    <xf numFmtId="0" fontId="1" fillId="0" borderId="2" xfId="0" applyFont="1" applyBorder="1" applyAlignment="1">
      <alignment horizontal="left"/>
    </xf>
    <xf numFmtId="184" fontId="5" fillId="2" borderId="2" xfId="0" applyNumberFormat="1" applyFont="1" applyFill="1" applyBorder="1" applyAlignment="1">
      <alignment horizontal="right"/>
    </xf>
    <xf numFmtId="2" fontId="5" fillId="2" borderId="2" xfId="0" applyNumberFormat="1" applyFont="1" applyFill="1" applyBorder="1" applyAlignment="1">
      <alignment horizontal="right"/>
    </xf>
    <xf numFmtId="164" fontId="5" fillId="2" borderId="2" xfId="0" applyNumberFormat="1" applyFont="1" applyFill="1" applyBorder="1" applyAlignment="1">
      <alignment horizontal="right"/>
    </xf>
    <xf numFmtId="0" fontId="1" fillId="5" borderId="2" xfId="0" applyFont="1" applyFill="1" applyBorder="1" applyProtection="1">
      <protection locked="0"/>
    </xf>
    <xf numFmtId="0" fontId="1" fillId="5" borderId="1" xfId="0" applyFont="1" applyFill="1" applyBorder="1" applyProtection="1">
      <protection locked="0"/>
    </xf>
    <xf numFmtId="0" fontId="2" fillId="0" borderId="0" xfId="8" applyAlignment="1" applyProtection="1"/>
    <xf numFmtId="172" fontId="58" fillId="7" borderId="67" xfId="2" applyNumberFormat="1" applyFont="1" applyFill="1" applyBorder="1"/>
    <xf numFmtId="3" fontId="58" fillId="7" borderId="89" xfId="0" applyNumberFormat="1" applyFont="1" applyFill="1" applyBorder="1"/>
    <xf numFmtId="0" fontId="1" fillId="5" borderId="21" xfId="0" applyFont="1" applyFill="1" applyBorder="1" applyProtection="1">
      <protection locked="0"/>
    </xf>
    <xf numFmtId="185" fontId="5" fillId="2" borderId="2" xfId="0" applyNumberFormat="1" applyFont="1" applyFill="1" applyBorder="1" applyAlignment="1">
      <alignment horizontal="right"/>
    </xf>
    <xf numFmtId="185" fontId="1" fillId="2" borderId="2" xfId="0" applyNumberFormat="1" applyFont="1" applyFill="1" applyBorder="1" applyAlignment="1">
      <alignment horizontal="right"/>
    </xf>
    <xf numFmtId="0" fontId="1" fillId="13" borderId="2" xfId="0" applyFont="1" applyFill="1" applyBorder="1" applyProtection="1">
      <protection locked="0"/>
    </xf>
    <xf numFmtId="14" fontId="59" fillId="13" borderId="2" xfId="0" applyNumberFormat="1" applyFont="1" applyFill="1" applyBorder="1" applyAlignment="1" applyProtection="1">
      <alignment horizontal="center" vertical="center"/>
      <protection locked="0"/>
    </xf>
    <xf numFmtId="0" fontId="1" fillId="5" borderId="3" xfId="0" applyFont="1" applyFill="1" applyBorder="1" applyProtection="1">
      <protection locked="0"/>
    </xf>
    <xf numFmtId="0" fontId="1" fillId="5" borderId="40" xfId="0" applyFont="1" applyFill="1" applyBorder="1" applyProtection="1">
      <protection locked="0"/>
    </xf>
    <xf numFmtId="0" fontId="1" fillId="5" borderId="3" xfId="0" applyFont="1" applyFill="1" applyBorder="1" applyAlignment="1" applyProtection="1">
      <protection locked="0"/>
    </xf>
    <xf numFmtId="0" fontId="1" fillId="5" borderId="21" xfId="0" applyFont="1" applyFill="1" applyBorder="1" applyAlignment="1" applyProtection="1">
      <protection locked="0"/>
    </xf>
    <xf numFmtId="0" fontId="5" fillId="7" borderId="55" xfId="0" applyFont="1" applyFill="1" applyBorder="1" applyAlignment="1">
      <alignment horizontal="left" vertical="center" wrapText="1"/>
    </xf>
    <xf numFmtId="0" fontId="5" fillId="7" borderId="59" xfId="0" applyFont="1" applyFill="1" applyBorder="1" applyAlignment="1">
      <alignment horizontal="left" vertical="center" wrapText="1"/>
    </xf>
    <xf numFmtId="0" fontId="5" fillId="7" borderId="40" xfId="0" applyFont="1" applyFill="1" applyBorder="1" applyAlignment="1">
      <alignment horizontal="left" vertical="center" wrapText="1"/>
    </xf>
    <xf numFmtId="0" fontId="2" fillId="7" borderId="0" xfId="8" applyFill="1" applyBorder="1" applyAlignment="1" applyProtection="1">
      <alignment horizontal="left" vertical="center" wrapText="1"/>
    </xf>
    <xf numFmtId="0" fontId="2" fillId="7" borderId="48" xfId="8" applyFill="1" applyBorder="1" applyAlignment="1" applyProtection="1">
      <alignment horizontal="left" vertical="center" wrapText="1"/>
    </xf>
    <xf numFmtId="0" fontId="46" fillId="20" borderId="4" xfId="0" applyFont="1" applyFill="1" applyBorder="1" applyAlignment="1">
      <alignment horizontal="left" vertical="center"/>
    </xf>
    <xf numFmtId="0" fontId="46" fillId="20" borderId="5" xfId="0" applyFont="1" applyFill="1" applyBorder="1" applyAlignment="1">
      <alignment horizontal="left" vertical="center"/>
    </xf>
    <xf numFmtId="0" fontId="46" fillId="20" borderId="6" xfId="0" applyFont="1" applyFill="1" applyBorder="1" applyAlignment="1">
      <alignment horizontal="left" vertical="center"/>
    </xf>
    <xf numFmtId="0" fontId="2" fillId="7" borderId="59" xfId="8" applyFill="1" applyBorder="1" applyAlignment="1" applyProtection="1">
      <alignment horizontal="left"/>
    </xf>
    <xf numFmtId="0" fontId="2" fillId="7" borderId="40" xfId="8" applyFill="1" applyBorder="1" applyAlignment="1" applyProtection="1">
      <alignment horizontal="left"/>
    </xf>
    <xf numFmtId="0" fontId="11" fillId="7" borderId="0" xfId="0" applyFont="1" applyFill="1" applyAlignment="1">
      <alignment horizontal="left" wrapText="1"/>
    </xf>
    <xf numFmtId="0" fontId="5" fillId="7" borderId="45" xfId="0" applyFont="1" applyFill="1" applyBorder="1" applyAlignment="1">
      <alignment horizontal="left" vertical="center" wrapText="1"/>
    </xf>
    <xf numFmtId="0" fontId="5" fillId="7" borderId="0" xfId="0" applyFont="1" applyFill="1" applyBorder="1" applyAlignment="1">
      <alignment horizontal="left" vertical="center" wrapText="1"/>
    </xf>
    <xf numFmtId="0" fontId="5" fillId="7" borderId="48" xfId="0" applyFont="1" applyFill="1" applyBorder="1" applyAlignment="1">
      <alignment horizontal="left" vertical="center" wrapText="1"/>
    </xf>
    <xf numFmtId="0" fontId="22" fillId="7" borderId="45" xfId="0" quotePrefix="1" applyFont="1" applyFill="1" applyBorder="1" applyAlignment="1">
      <alignment horizontal="left" vertical="center" wrapText="1"/>
    </xf>
    <xf numFmtId="0" fontId="22" fillId="7" borderId="0" xfId="0" applyFont="1" applyFill="1" applyAlignment="1">
      <alignment horizontal="left" vertical="center" wrapText="1"/>
    </xf>
    <xf numFmtId="0" fontId="22" fillId="7" borderId="48" xfId="0" applyFont="1" applyFill="1" applyBorder="1" applyAlignment="1">
      <alignment horizontal="left" vertical="center" wrapText="1"/>
    </xf>
    <xf numFmtId="0" fontId="22" fillId="14" borderId="0" xfId="0" applyFont="1" applyFill="1" applyBorder="1" applyAlignment="1" applyProtection="1">
      <alignment horizontal="center"/>
      <protection locked="0"/>
    </xf>
    <xf numFmtId="0" fontId="57" fillId="11" borderId="28" xfId="0" applyFont="1" applyFill="1" applyBorder="1" applyAlignment="1">
      <alignment horizontal="center"/>
    </xf>
    <xf numFmtId="0" fontId="57" fillId="11" borderId="29" xfId="0" applyFont="1" applyFill="1" applyBorder="1" applyAlignment="1">
      <alignment horizontal="center"/>
    </xf>
    <xf numFmtId="0" fontId="57" fillId="11" borderId="73" xfId="0" applyFont="1" applyFill="1" applyBorder="1" applyAlignment="1">
      <alignment horizontal="center"/>
    </xf>
    <xf numFmtId="0" fontId="22" fillId="7" borderId="0" xfId="0" applyFont="1" applyFill="1" applyBorder="1" applyAlignment="1">
      <alignment horizontal="left" vertical="center" wrapText="1"/>
    </xf>
    <xf numFmtId="0" fontId="22" fillId="7" borderId="59" xfId="0" applyFont="1" applyFill="1" applyBorder="1" applyAlignment="1">
      <alignment horizontal="left" vertical="center" wrapText="1"/>
    </xf>
    <xf numFmtId="0" fontId="22" fillId="7" borderId="40" xfId="0" applyFont="1" applyFill="1" applyBorder="1" applyAlignment="1">
      <alignment horizontal="left" vertical="center" wrapText="1"/>
    </xf>
    <xf numFmtId="0" fontId="22" fillId="7" borderId="58" xfId="0" quotePrefix="1" applyFont="1" applyFill="1" applyBorder="1" applyAlignment="1">
      <alignment horizontal="left" vertical="center" wrapText="1"/>
    </xf>
    <xf numFmtId="0" fontId="22" fillId="7" borderId="85" xfId="0" quotePrefix="1" applyFont="1" applyFill="1" applyBorder="1" applyAlignment="1">
      <alignment horizontal="left" vertical="center" wrapText="1"/>
    </xf>
    <xf numFmtId="0" fontId="22" fillId="7" borderId="34" xfId="0" quotePrefix="1" applyFont="1" applyFill="1" applyBorder="1" applyAlignment="1">
      <alignment horizontal="left" vertical="center" wrapText="1"/>
    </xf>
    <xf numFmtId="0" fontId="22" fillId="7" borderId="0" xfId="0" quotePrefix="1" applyFont="1" applyFill="1" applyBorder="1" applyAlignment="1">
      <alignment horizontal="left" vertical="center" wrapText="1"/>
    </xf>
    <xf numFmtId="0" fontId="22" fillId="7" borderId="48" xfId="0" quotePrefix="1" applyFont="1" applyFill="1" applyBorder="1" applyAlignment="1">
      <alignment horizontal="left" vertical="center" wrapText="1"/>
    </xf>
    <xf numFmtId="0" fontId="22" fillId="7" borderId="5" xfId="0" applyFont="1" applyFill="1" applyBorder="1" applyAlignment="1">
      <alignment wrapText="1" readingOrder="1"/>
    </xf>
    <xf numFmtId="0" fontId="22" fillId="7" borderId="6" xfId="0" applyFont="1" applyFill="1" applyBorder="1" applyAlignment="1">
      <alignment wrapText="1" readingOrder="1"/>
    </xf>
    <xf numFmtId="0" fontId="22" fillId="7" borderId="85" xfId="0" applyFont="1" applyFill="1" applyBorder="1" applyAlignment="1">
      <alignment horizontal="left" vertical="center" wrapText="1"/>
    </xf>
    <xf numFmtId="0" fontId="22" fillId="7" borderId="34" xfId="0" applyFont="1" applyFill="1" applyBorder="1" applyAlignment="1">
      <alignment horizontal="left" vertical="center" wrapText="1"/>
    </xf>
    <xf numFmtId="0" fontId="35" fillId="7" borderId="0" xfId="8" applyFont="1" applyFill="1" applyBorder="1" applyAlignment="1" applyProtection="1">
      <alignment horizontal="left" vertical="center" wrapText="1"/>
    </xf>
    <xf numFmtId="0" fontId="35" fillId="7" borderId="48" xfId="8" applyFont="1" applyFill="1" applyBorder="1" applyAlignment="1" applyProtection="1">
      <alignment horizontal="left" vertical="center" wrapText="1"/>
    </xf>
    <xf numFmtId="0" fontId="5" fillId="7" borderId="58" xfId="0" applyFont="1" applyFill="1" applyBorder="1" applyAlignment="1">
      <alignment horizontal="left" vertical="center" wrapText="1"/>
    </xf>
    <xf numFmtId="0" fontId="5" fillId="7" borderId="85" xfId="0" applyFont="1" applyFill="1" applyBorder="1" applyAlignment="1">
      <alignment horizontal="left" vertical="center" wrapText="1"/>
    </xf>
    <xf numFmtId="0" fontId="5" fillId="7" borderId="34" xfId="0" applyFont="1" applyFill="1" applyBorder="1" applyAlignment="1">
      <alignment horizontal="left" vertical="center" wrapText="1"/>
    </xf>
    <xf numFmtId="0" fontId="60" fillId="7" borderId="85" xfId="0" applyFont="1" applyFill="1" applyBorder="1" applyAlignment="1">
      <alignment horizontal="left" vertical="top" wrapText="1"/>
    </xf>
    <xf numFmtId="0" fontId="60" fillId="7" borderId="34" xfId="0" applyFont="1" applyFill="1" applyBorder="1" applyAlignment="1">
      <alignment horizontal="left" vertical="top" wrapText="1"/>
    </xf>
    <xf numFmtId="0" fontId="22" fillId="7" borderId="0" xfId="0" quotePrefix="1" applyFont="1" applyFill="1" applyBorder="1" applyAlignment="1">
      <alignment horizontal="left" vertical="center"/>
    </xf>
    <xf numFmtId="0" fontId="22" fillId="7" borderId="85" xfId="0" quotePrefix="1" applyFont="1" applyFill="1" applyBorder="1" applyAlignment="1">
      <alignment vertical="center" wrapText="1"/>
    </xf>
    <xf numFmtId="14" fontId="22" fillId="13" borderId="4" xfId="0" applyNumberFormat="1" applyFont="1" applyFill="1" applyBorder="1" applyAlignment="1" applyProtection="1">
      <alignment horizontal="left"/>
      <protection locked="0"/>
    </xf>
    <xf numFmtId="0" fontId="22" fillId="13" borderId="5" xfId="0" applyFont="1" applyFill="1" applyBorder="1" applyAlignment="1" applyProtection="1">
      <alignment horizontal="left"/>
      <protection locked="0"/>
    </xf>
    <xf numFmtId="0" fontId="22" fillId="13" borderId="6" xfId="0" applyFont="1" applyFill="1" applyBorder="1" applyAlignment="1" applyProtection="1">
      <alignment horizontal="left"/>
      <protection locked="0"/>
    </xf>
    <xf numFmtId="0" fontId="22" fillId="13" borderId="55" xfId="0" applyFont="1" applyFill="1" applyBorder="1" applyAlignment="1" applyProtection="1">
      <alignment horizontal="left"/>
      <protection locked="0"/>
    </xf>
    <xf numFmtId="0" fontId="22" fillId="13" borderId="59" xfId="0" applyFont="1" applyFill="1" applyBorder="1" applyAlignment="1" applyProtection="1">
      <alignment horizontal="left"/>
      <protection locked="0"/>
    </xf>
    <xf numFmtId="0" fontId="22" fillId="13" borderId="40" xfId="0" applyFont="1" applyFill="1" applyBorder="1" applyAlignment="1" applyProtection="1">
      <alignment horizontal="left"/>
      <protection locked="0"/>
    </xf>
    <xf numFmtId="0" fontId="22" fillId="13" borderId="58" xfId="0" applyFont="1" applyFill="1" applyBorder="1" applyAlignment="1" applyProtection="1">
      <alignment horizontal="left"/>
      <protection locked="0"/>
    </xf>
    <xf numFmtId="0" fontId="22" fillId="13" borderId="85" xfId="0" applyFont="1" applyFill="1" applyBorder="1" applyAlignment="1" applyProtection="1">
      <alignment horizontal="left"/>
      <protection locked="0"/>
    </xf>
    <xf numFmtId="0" fontId="22" fillId="13" borderId="34" xfId="0" applyFont="1" applyFill="1" applyBorder="1" applyAlignment="1" applyProtection="1">
      <alignment horizontal="left"/>
      <protection locked="0"/>
    </xf>
    <xf numFmtId="0" fontId="22" fillId="13" borderId="58" xfId="0" applyFont="1" applyFill="1" applyBorder="1" applyAlignment="1" applyProtection="1">
      <alignment horizontal="left" wrapText="1"/>
      <protection locked="0"/>
    </xf>
    <xf numFmtId="0" fontId="59" fillId="13" borderId="4" xfId="0" applyFont="1" applyFill="1" applyBorder="1" applyAlignment="1" applyProtection="1">
      <alignment horizontal="left" vertical="center"/>
      <protection locked="0"/>
    </xf>
    <xf numFmtId="0" fontId="61" fillId="13" borderId="5" xfId="0" applyFont="1" applyFill="1" applyBorder="1" applyAlignment="1" applyProtection="1">
      <alignment horizontal="left" vertical="center"/>
      <protection locked="0"/>
    </xf>
    <xf numFmtId="0" fontId="61" fillId="13" borderId="6" xfId="0" applyFont="1" applyFill="1" applyBorder="1" applyAlignment="1" applyProtection="1">
      <alignment horizontal="left" vertical="center"/>
      <protection locked="0"/>
    </xf>
    <xf numFmtId="14" fontId="59" fillId="13" borderId="59" xfId="0" applyNumberFormat="1" applyFont="1" applyFill="1" applyBorder="1" applyAlignment="1" applyProtection="1">
      <alignment horizontal="center" vertical="center"/>
      <protection locked="0"/>
    </xf>
    <xf numFmtId="0" fontId="59" fillId="13" borderId="40" xfId="0" applyFont="1" applyFill="1" applyBorder="1" applyAlignment="1" applyProtection="1">
      <alignment horizontal="center" vertical="center"/>
      <protection locked="0"/>
    </xf>
    <xf numFmtId="0" fontId="22" fillId="7" borderId="0" xfId="0" quotePrefix="1" applyFont="1" applyFill="1" applyBorder="1" applyAlignment="1">
      <alignment horizontal="left" wrapText="1"/>
    </xf>
    <xf numFmtId="0" fontId="22" fillId="7" borderId="59" xfId="0" quotePrefix="1" applyFont="1" applyFill="1" applyBorder="1" applyAlignment="1">
      <alignment horizontal="left" wrapText="1"/>
    </xf>
    <xf numFmtId="0" fontId="2" fillId="7" borderId="0" xfId="8" applyFill="1" applyBorder="1" applyAlignment="1" applyProtection="1">
      <alignment horizontal="center" vertical="top"/>
    </xf>
    <xf numFmtId="0" fontId="22" fillId="7" borderId="0" xfId="0" applyFont="1" applyFill="1" applyAlignment="1">
      <alignment horizontal="left" vertical="top" wrapText="1"/>
    </xf>
    <xf numFmtId="0" fontId="22" fillId="7" borderId="59" xfId="0" applyFont="1" applyFill="1" applyBorder="1" applyAlignment="1">
      <alignment horizontal="left" vertical="top" wrapText="1"/>
    </xf>
    <xf numFmtId="0" fontId="22" fillId="0" borderId="0" xfId="0" applyFont="1" applyAlignment="1">
      <alignment horizontal="left" vertical="top" wrapText="1"/>
    </xf>
    <xf numFmtId="0" fontId="38" fillId="7" borderId="0" xfId="0" applyFont="1" applyFill="1" applyBorder="1" applyAlignment="1">
      <alignment horizontal="left" vertical="center" wrapText="1" indent="2"/>
    </xf>
    <xf numFmtId="0" fontId="22" fillId="0" borderId="21" xfId="0" applyFont="1" applyFill="1" applyBorder="1" applyAlignment="1">
      <alignment horizontal="left" vertical="center" wrapText="1"/>
    </xf>
    <xf numFmtId="0" fontId="22" fillId="0" borderId="49" xfId="0" applyFont="1" applyFill="1" applyBorder="1" applyAlignment="1">
      <alignment horizontal="left" vertical="center" wrapText="1"/>
    </xf>
    <xf numFmtId="0" fontId="22" fillId="0" borderId="19" xfId="0" applyFont="1" applyFill="1" applyBorder="1" applyAlignment="1">
      <alignment horizontal="left" vertical="center" wrapText="1"/>
    </xf>
    <xf numFmtId="0" fontId="22" fillId="0" borderId="31" xfId="0" applyFont="1" applyFill="1" applyBorder="1" applyAlignment="1">
      <alignment horizontal="left" vertical="center" wrapText="1"/>
    </xf>
    <xf numFmtId="0" fontId="22" fillId="0" borderId="72" xfId="0" applyFont="1" applyFill="1" applyBorder="1" applyAlignment="1">
      <alignment horizontal="left" vertical="center" wrapText="1"/>
    </xf>
    <xf numFmtId="0" fontId="22" fillId="0" borderId="29" xfId="0" applyFont="1" applyFill="1" applyBorder="1" applyAlignment="1">
      <alignment horizontal="left" vertical="center" wrapText="1"/>
    </xf>
    <xf numFmtId="0" fontId="22" fillId="0" borderId="56" xfId="0" applyFont="1" applyFill="1" applyBorder="1" applyAlignment="1">
      <alignment horizontal="left" vertical="center" wrapText="1"/>
    </xf>
    <xf numFmtId="0" fontId="22" fillId="0" borderId="36" xfId="0" applyFont="1" applyFill="1" applyBorder="1" applyAlignment="1">
      <alignment horizontal="left" vertical="center" wrapText="1"/>
    </xf>
    <xf numFmtId="0" fontId="22" fillId="0" borderId="64" xfId="0" applyFont="1" applyFill="1" applyBorder="1" applyAlignment="1">
      <alignment horizontal="left" vertical="center" wrapText="1"/>
    </xf>
    <xf numFmtId="0" fontId="22" fillId="0" borderId="41" xfId="0" applyFont="1" applyFill="1" applyBorder="1" applyAlignment="1">
      <alignment horizontal="left" vertical="center" wrapText="1"/>
    </xf>
    <xf numFmtId="0" fontId="3" fillId="3" borderId="9" xfId="0" applyFont="1" applyFill="1" applyBorder="1" applyAlignment="1">
      <alignment horizontal="center" vertical="top"/>
    </xf>
    <xf numFmtId="0" fontId="3" fillId="3" borderId="12" xfId="0" applyFont="1" applyFill="1" applyBorder="1" applyAlignment="1">
      <alignment horizontal="center" vertical="top"/>
    </xf>
    <xf numFmtId="0" fontId="5" fillId="7" borderId="0" xfId="0" quotePrefix="1" applyFont="1" applyFill="1" applyAlignment="1">
      <alignment horizontal="left" wrapText="1"/>
    </xf>
    <xf numFmtId="0" fontId="3" fillId="3" borderId="61" xfId="0" applyFont="1" applyFill="1" applyBorder="1" applyAlignment="1">
      <alignment horizontal="center"/>
    </xf>
    <xf numFmtId="0" fontId="3" fillId="12" borderId="30" xfId="0" applyFont="1" applyFill="1" applyBorder="1" applyAlignment="1">
      <alignment horizontal="center"/>
    </xf>
    <xf numFmtId="0" fontId="1" fillId="2" borderId="0" xfId="0" quotePrefix="1" applyFont="1" applyFill="1" applyAlignment="1">
      <alignment horizontal="left" wrapText="1" indent="4"/>
    </xf>
    <xf numFmtId="0" fontId="5" fillId="2" borderId="0" xfId="0" quotePrefix="1" applyFont="1" applyFill="1" applyAlignment="1">
      <alignment horizontal="left" wrapText="1" indent="4"/>
    </xf>
    <xf numFmtId="0" fontId="5" fillId="7" borderId="0" xfId="0" applyFont="1" applyFill="1" applyAlignment="1">
      <alignment horizontal="left" wrapText="1"/>
    </xf>
    <xf numFmtId="0" fontId="0" fillId="0" borderId="0" xfId="0" applyAlignment="1">
      <alignment wrapText="1"/>
    </xf>
    <xf numFmtId="0" fontId="3" fillId="3" borderId="15" xfId="0" applyFont="1" applyFill="1" applyBorder="1" applyAlignment="1">
      <alignment horizontal="center" vertical="top"/>
    </xf>
    <xf numFmtId="0" fontId="3" fillId="3" borderId="53" xfId="0" applyFont="1" applyFill="1" applyBorder="1" applyAlignment="1">
      <alignment horizontal="center" vertical="top"/>
    </xf>
    <xf numFmtId="0" fontId="3" fillId="3" borderId="18" xfId="0" applyFont="1" applyFill="1" applyBorder="1" applyAlignment="1">
      <alignment horizontal="center" vertical="top"/>
    </xf>
    <xf numFmtId="0" fontId="3" fillId="3" borderId="31" xfId="0" applyFont="1" applyFill="1" applyBorder="1" applyAlignment="1">
      <alignment horizontal="center" vertical="top"/>
    </xf>
    <xf numFmtId="0" fontId="5" fillId="7" borderId="0" xfId="0" quotePrefix="1" applyFont="1" applyFill="1" applyAlignment="1">
      <alignment horizontal="left" wrapText="1" indent="1"/>
    </xf>
    <xf numFmtId="0" fontId="1" fillId="7" borderId="0" xfId="0" quotePrefix="1" applyFont="1" applyFill="1" applyAlignment="1">
      <alignment horizontal="left" wrapText="1" indent="1"/>
    </xf>
    <xf numFmtId="0" fontId="1" fillId="2" borderId="7" xfId="0" applyFont="1" applyFill="1" applyBorder="1" applyAlignment="1">
      <alignment horizontal="left" vertical="center"/>
    </xf>
    <xf numFmtId="0" fontId="1" fillId="2" borderId="20" xfId="0" applyFont="1" applyFill="1" applyBorder="1" applyAlignment="1">
      <alignment horizontal="left" vertical="center"/>
    </xf>
    <xf numFmtId="0" fontId="1" fillId="2" borderId="10" xfId="0" applyFont="1" applyFill="1" applyBorder="1" applyAlignment="1">
      <alignment horizontal="left" vertical="center"/>
    </xf>
    <xf numFmtId="0" fontId="3" fillId="3" borderId="4" xfId="0" applyFont="1" applyFill="1" applyBorder="1" applyAlignment="1">
      <alignment horizontal="center" wrapText="1"/>
    </xf>
    <xf numFmtId="0" fontId="3" fillId="3" borderId="6" xfId="0" applyFont="1" applyFill="1" applyBorder="1" applyAlignment="1">
      <alignment horizontal="center" wrapText="1"/>
    </xf>
    <xf numFmtId="0" fontId="3" fillId="3" borderId="16" xfId="0" applyFont="1" applyFill="1" applyBorder="1" applyAlignment="1">
      <alignment horizontal="center" vertical="top"/>
    </xf>
    <xf numFmtId="0" fontId="3" fillId="3" borderId="19" xfId="0" applyFont="1" applyFill="1" applyBorder="1" applyAlignment="1">
      <alignment horizontal="center" vertical="top"/>
    </xf>
    <xf numFmtId="0" fontId="3" fillId="3" borderId="58" xfId="0" applyFont="1" applyFill="1" applyBorder="1" applyAlignment="1">
      <alignment horizontal="center"/>
    </xf>
    <xf numFmtId="0" fontId="3" fillId="3" borderId="85" xfId="0" applyFont="1" applyFill="1" applyBorder="1" applyAlignment="1">
      <alignment horizontal="center"/>
    </xf>
    <xf numFmtId="0" fontId="3" fillId="3" borderId="34" xfId="0" applyFont="1" applyFill="1" applyBorder="1" applyAlignment="1">
      <alignment horizontal="center"/>
    </xf>
    <xf numFmtId="0" fontId="1" fillId="2" borderId="15" xfId="0" applyFont="1" applyFill="1" applyBorder="1" applyAlignment="1">
      <alignment horizontal="left" vertical="center"/>
    </xf>
    <xf numFmtId="0" fontId="1" fillId="2" borderId="18" xfId="0" applyFont="1" applyFill="1" applyBorder="1" applyAlignment="1">
      <alignment horizontal="left" vertical="center"/>
    </xf>
    <xf numFmtId="0" fontId="1" fillId="2" borderId="8" xfId="0" applyFont="1" applyFill="1" applyBorder="1" applyAlignment="1">
      <alignment horizontal="left" vertical="center"/>
    </xf>
    <xf numFmtId="0" fontId="1" fillId="2" borderId="11" xfId="0" applyFont="1" applyFill="1" applyBorder="1" applyAlignment="1">
      <alignment horizontal="left" vertical="center"/>
    </xf>
    <xf numFmtId="0" fontId="3" fillId="3" borderId="8" xfId="0" applyFont="1" applyFill="1" applyBorder="1" applyAlignment="1">
      <alignment horizontal="center" vertical="top"/>
    </xf>
    <xf numFmtId="0" fontId="3" fillId="3" borderId="11" xfId="0" applyFont="1" applyFill="1" applyBorder="1" applyAlignment="1">
      <alignment horizontal="center" vertical="top"/>
    </xf>
    <xf numFmtId="0" fontId="1" fillId="2" borderId="37" xfId="0" applyFont="1" applyFill="1" applyBorder="1" applyAlignment="1">
      <alignment horizontal="left" vertical="center"/>
    </xf>
    <xf numFmtId="0" fontId="1" fillId="2" borderId="13" xfId="0" applyFont="1" applyFill="1" applyBorder="1" applyAlignment="1">
      <alignment horizontal="left" vertical="center"/>
    </xf>
    <xf numFmtId="0" fontId="3" fillId="4" borderId="15" xfId="0" applyFont="1" applyFill="1" applyBorder="1" applyAlignment="1">
      <alignment horizontal="left" wrapText="1"/>
    </xf>
    <xf numFmtId="0" fontId="3" fillId="4" borderId="16" xfId="0" applyFont="1" applyFill="1" applyBorder="1" applyAlignment="1">
      <alignment horizontal="left" wrapText="1"/>
    </xf>
    <xf numFmtId="0" fontId="3" fillId="4" borderId="18" xfId="0" applyFont="1" applyFill="1" applyBorder="1" applyAlignment="1">
      <alignment horizontal="left" wrapText="1"/>
    </xf>
    <xf numFmtId="0" fontId="3" fillId="4" borderId="19" xfId="0" applyFont="1" applyFill="1" applyBorder="1" applyAlignment="1">
      <alignment horizontal="left" wrapText="1"/>
    </xf>
    <xf numFmtId="0" fontId="3" fillId="3" borderId="36" xfId="0" applyFont="1" applyFill="1" applyBorder="1" applyAlignment="1">
      <alignment horizontal="center"/>
    </xf>
    <xf numFmtId="0" fontId="3" fillId="3" borderId="41" xfId="0" applyFont="1" applyFill="1" applyBorder="1" applyAlignment="1">
      <alignment horizontal="center"/>
    </xf>
    <xf numFmtId="0" fontId="3" fillId="3" borderId="7" xfId="0" applyFont="1" applyFill="1" applyBorder="1" applyAlignment="1">
      <alignment horizontal="center" vertical="top"/>
    </xf>
    <xf numFmtId="0" fontId="3" fillId="3" borderId="20" xfId="0" applyFont="1" applyFill="1" applyBorder="1" applyAlignment="1">
      <alignment horizontal="center" vertical="top"/>
    </xf>
    <xf numFmtId="0" fontId="3" fillId="3" borderId="10" xfId="0" applyFont="1" applyFill="1" applyBorder="1" applyAlignment="1">
      <alignment horizontal="center" vertical="top"/>
    </xf>
    <xf numFmtId="0" fontId="3" fillId="3" borderId="13" xfId="0" applyFont="1" applyFill="1" applyBorder="1" applyAlignment="1">
      <alignment horizontal="center" vertical="top"/>
    </xf>
    <xf numFmtId="0" fontId="3" fillId="12" borderId="8" xfId="0" applyFont="1" applyFill="1" applyBorder="1" applyAlignment="1">
      <alignment horizontal="center" vertical="top" wrapText="1"/>
    </xf>
    <xf numFmtId="0" fontId="11" fillId="7" borderId="0" xfId="0" quotePrefix="1" applyFont="1" applyFill="1" applyAlignment="1">
      <alignment horizontal="left" vertical="top" wrapText="1"/>
    </xf>
    <xf numFmtId="0" fontId="11" fillId="7" borderId="48" xfId="0" quotePrefix="1" applyFont="1" applyFill="1" applyBorder="1" applyAlignment="1">
      <alignment horizontal="left" vertical="top" wrapText="1"/>
    </xf>
    <xf numFmtId="0" fontId="3" fillId="17" borderId="4" xfId="0" applyFont="1" applyFill="1" applyBorder="1" applyAlignment="1">
      <alignment horizontal="center" vertical="center"/>
    </xf>
    <xf numFmtId="0" fontId="3" fillId="17" borderId="5" xfId="0" applyFont="1" applyFill="1" applyBorder="1" applyAlignment="1">
      <alignment horizontal="center" vertical="center"/>
    </xf>
    <xf numFmtId="0" fontId="3" fillId="17" borderId="6" xfId="0" applyFont="1" applyFill="1" applyBorder="1" applyAlignment="1">
      <alignment horizontal="center" vertical="center"/>
    </xf>
    <xf numFmtId="0" fontId="3" fillId="16" borderId="4" xfId="0" applyFont="1" applyFill="1" applyBorder="1" applyAlignment="1">
      <alignment horizontal="center"/>
    </xf>
    <xf numFmtId="0" fontId="3" fillId="16" borderId="5" xfId="0" applyFont="1" applyFill="1" applyBorder="1" applyAlignment="1">
      <alignment horizontal="center"/>
    </xf>
    <xf numFmtId="0" fontId="3" fillId="16" borderId="6" xfId="0" applyFont="1" applyFill="1" applyBorder="1" applyAlignment="1">
      <alignment horizontal="center"/>
    </xf>
    <xf numFmtId="0" fontId="3" fillId="17" borderId="4" xfId="0" applyFont="1" applyFill="1" applyBorder="1" applyAlignment="1">
      <alignment horizontal="center"/>
    </xf>
    <xf numFmtId="0" fontId="3" fillId="17" borderId="5" xfId="0" applyFont="1" applyFill="1" applyBorder="1" applyAlignment="1">
      <alignment horizontal="center"/>
    </xf>
    <xf numFmtId="0" fontId="3" fillId="17" borderId="6" xfId="0" applyFont="1" applyFill="1" applyBorder="1" applyAlignment="1">
      <alignment horizontal="center"/>
    </xf>
    <xf numFmtId="0" fontId="3" fillId="16" borderId="4" xfId="0" applyFont="1" applyFill="1" applyBorder="1" applyAlignment="1">
      <alignment horizontal="center" wrapText="1"/>
    </xf>
    <xf numFmtId="0" fontId="5" fillId="7" borderId="0" xfId="0" applyFont="1" applyFill="1" applyAlignment="1">
      <alignment horizontal="left" vertical="center" wrapText="1"/>
    </xf>
    <xf numFmtId="0" fontId="3" fillId="3" borderId="49" xfId="0" applyFont="1" applyFill="1" applyBorder="1" applyAlignment="1">
      <alignment horizontal="center"/>
    </xf>
    <xf numFmtId="0" fontId="3" fillId="3" borderId="31" xfId="0" applyFont="1" applyFill="1" applyBorder="1" applyAlignment="1">
      <alignment horizontal="center"/>
    </xf>
    <xf numFmtId="0" fontId="3" fillId="12" borderId="57" xfId="0" applyFont="1" applyFill="1" applyBorder="1" applyAlignment="1">
      <alignment horizontal="center" vertical="top"/>
    </xf>
    <xf numFmtId="0" fontId="3" fillId="12" borderId="7" xfId="0" applyFont="1" applyFill="1" applyBorder="1" applyAlignment="1">
      <alignment horizontal="center" vertical="top" wrapText="1"/>
    </xf>
    <xf numFmtId="0" fontId="3" fillId="17" borderId="4" xfId="0" applyFont="1" applyFill="1" applyBorder="1" applyAlignment="1">
      <alignment horizontal="center" wrapText="1"/>
    </xf>
    <xf numFmtId="0" fontId="5" fillId="0" borderId="1" xfId="0" applyFont="1" applyFill="1" applyBorder="1" applyAlignment="1">
      <alignment horizontal="left"/>
    </xf>
    <xf numFmtId="0" fontId="5" fillId="0" borderId="2" xfId="0" applyFont="1" applyFill="1" applyBorder="1" applyAlignment="1">
      <alignment horizontal="left"/>
    </xf>
    <xf numFmtId="0" fontId="5" fillId="0" borderId="46" xfId="0" applyFont="1" applyFill="1" applyBorder="1" applyAlignment="1">
      <alignment horizontal="left"/>
    </xf>
    <xf numFmtId="0" fontId="5" fillId="0" borderId="26" xfId="0" applyFont="1" applyFill="1" applyBorder="1" applyAlignment="1">
      <alignment horizontal="left"/>
    </xf>
    <xf numFmtId="0" fontId="3" fillId="12" borderId="7" xfId="0" applyFont="1" applyFill="1" applyBorder="1" applyAlignment="1">
      <alignment horizontal="center"/>
    </xf>
    <xf numFmtId="0" fontId="3" fillId="12" borderId="8" xfId="0" applyFont="1" applyFill="1" applyBorder="1" applyAlignment="1">
      <alignment horizontal="center"/>
    </xf>
    <xf numFmtId="0" fontId="5" fillId="0" borderId="27" xfId="0" applyFont="1" applyFill="1" applyBorder="1" applyAlignment="1">
      <alignment horizontal="left"/>
    </xf>
    <xf numFmtId="0" fontId="5" fillId="0" borderId="35" xfId="0" applyFont="1" applyFill="1" applyBorder="1" applyAlignment="1">
      <alignment horizontal="left"/>
    </xf>
    <xf numFmtId="0" fontId="5" fillId="7" borderId="0" xfId="0" applyFont="1" applyFill="1" applyAlignment="1">
      <alignment horizontal="left" vertical="top" wrapText="1" indent="1"/>
    </xf>
    <xf numFmtId="0" fontId="5" fillId="0" borderId="3" xfId="0" applyFont="1" applyFill="1" applyBorder="1" applyAlignment="1">
      <alignment horizontal="left"/>
    </xf>
    <xf numFmtId="0" fontId="5" fillId="0" borderId="21" xfId="0" applyFont="1" applyFill="1" applyBorder="1" applyAlignment="1">
      <alignment horizontal="left"/>
    </xf>
    <xf numFmtId="0" fontId="1" fillId="7" borderId="0" xfId="0" quotePrefix="1" applyFont="1" applyFill="1" applyAlignment="1">
      <alignment horizontal="left" wrapText="1"/>
    </xf>
    <xf numFmtId="0" fontId="1" fillId="7" borderId="0" xfId="0" quotePrefix="1" applyFont="1" applyFill="1" applyAlignment="1">
      <alignment horizontal="left"/>
    </xf>
    <xf numFmtId="0" fontId="3" fillId="9" borderId="15" xfId="0" applyFont="1" applyFill="1" applyBorder="1" applyAlignment="1">
      <alignment horizontal="left" wrapText="1"/>
    </xf>
    <xf numFmtId="0" fontId="3" fillId="9" borderId="16" xfId="0" applyFont="1" applyFill="1" applyBorder="1" applyAlignment="1">
      <alignment horizontal="left" wrapText="1"/>
    </xf>
    <xf numFmtId="0" fontId="3" fillId="9" borderId="18" xfId="0" applyFont="1" applyFill="1" applyBorder="1" applyAlignment="1">
      <alignment horizontal="left" wrapText="1"/>
    </xf>
    <xf numFmtId="0" fontId="3" fillId="9" borderId="19" xfId="0" applyFont="1" applyFill="1" applyBorder="1" applyAlignment="1">
      <alignment horizontal="left" wrapText="1"/>
    </xf>
    <xf numFmtId="0" fontId="3" fillId="10" borderId="28" xfId="0" applyFont="1" applyFill="1" applyBorder="1" applyAlignment="1">
      <alignment horizontal="left"/>
    </xf>
    <xf numFmtId="0" fontId="3" fillId="10" borderId="29" xfId="0" applyFont="1" applyFill="1" applyBorder="1" applyAlignment="1">
      <alignment horizontal="left"/>
    </xf>
    <xf numFmtId="0" fontId="3" fillId="10" borderId="73" xfId="0" applyFont="1" applyFill="1" applyBorder="1" applyAlignment="1">
      <alignment horizontal="left"/>
    </xf>
    <xf numFmtId="0" fontId="1" fillId="7" borderId="2" xfId="0" applyFont="1" applyFill="1" applyBorder="1" applyAlignment="1">
      <alignment horizontal="left" vertical="center" wrapText="1"/>
    </xf>
    <xf numFmtId="0" fontId="5" fillId="7" borderId="2" xfId="0" applyFont="1" applyFill="1" applyBorder="1" applyAlignment="1">
      <alignment horizontal="left" vertical="center" wrapText="1"/>
    </xf>
    <xf numFmtId="0" fontId="1" fillId="7" borderId="2" xfId="0" applyFont="1" applyFill="1" applyBorder="1" applyAlignment="1">
      <alignment vertical="center" wrapText="1"/>
    </xf>
    <xf numFmtId="0" fontId="5" fillId="7" borderId="2" xfId="0" applyFont="1" applyFill="1" applyBorder="1" applyAlignment="1">
      <alignment vertical="center" wrapText="1"/>
    </xf>
    <xf numFmtId="0" fontId="1" fillId="2" borderId="33" xfId="0" applyFont="1" applyFill="1" applyBorder="1" applyAlignment="1">
      <alignment horizontal="left"/>
    </xf>
    <xf numFmtId="0" fontId="1" fillId="2" borderId="5" xfId="0" applyFont="1" applyFill="1" applyBorder="1" applyAlignment="1">
      <alignment horizontal="left"/>
    </xf>
    <xf numFmtId="0" fontId="1" fillId="2" borderId="6" xfId="0" applyFont="1" applyFill="1" applyBorder="1" applyAlignment="1">
      <alignment horizontal="left"/>
    </xf>
    <xf numFmtId="0" fontId="21" fillId="7" borderId="0" xfId="0" applyFont="1" applyFill="1" applyAlignment="1">
      <alignment horizontal="left" vertical="top" wrapText="1"/>
    </xf>
    <xf numFmtId="0" fontId="21" fillId="0" borderId="0" xfId="0" applyFont="1" applyAlignment="1">
      <alignment horizontal="left" vertical="center" wrapText="1"/>
    </xf>
    <xf numFmtId="0" fontId="1" fillId="2" borderId="24" xfId="0" applyFont="1" applyFill="1" applyBorder="1" applyAlignment="1">
      <alignment horizontal="left"/>
    </xf>
    <xf numFmtId="0" fontId="1" fillId="2" borderId="94" xfId="0" applyFont="1" applyFill="1" applyBorder="1" applyAlignment="1">
      <alignment horizontal="left"/>
    </xf>
    <xf numFmtId="0" fontId="1" fillId="2" borderId="25" xfId="0" applyFont="1" applyFill="1" applyBorder="1" applyAlignment="1">
      <alignment horizontal="left"/>
    </xf>
    <xf numFmtId="0" fontId="5" fillId="7" borderId="1" xfId="0" applyFont="1" applyFill="1" applyBorder="1" applyAlignment="1">
      <alignment horizontal="left" wrapText="1"/>
    </xf>
    <xf numFmtId="0" fontId="5" fillId="7" borderId="2" xfId="0" applyFont="1" applyFill="1" applyBorder="1" applyAlignment="1">
      <alignment horizontal="left" wrapText="1"/>
    </xf>
    <xf numFmtId="0" fontId="5" fillId="7" borderId="44" xfId="0" applyFont="1" applyFill="1" applyBorder="1" applyAlignment="1">
      <alignment horizontal="left" wrapText="1"/>
    </xf>
    <xf numFmtId="0" fontId="0" fillId="0" borderId="4" xfId="0" applyBorder="1" applyAlignment="1">
      <alignment horizontal="left"/>
    </xf>
    <xf numFmtId="0" fontId="0" fillId="0" borderId="5" xfId="0" applyBorder="1" applyAlignment="1">
      <alignment horizontal="left"/>
    </xf>
    <xf numFmtId="0" fontId="0" fillId="0" borderId="60" xfId="0" applyBorder="1" applyAlignment="1">
      <alignment horizontal="left"/>
    </xf>
    <xf numFmtId="0" fontId="1" fillId="7" borderId="46" xfId="0" applyFont="1" applyFill="1" applyBorder="1" applyAlignment="1">
      <alignment horizontal="left" wrapText="1"/>
    </xf>
    <xf numFmtId="0" fontId="5" fillId="7" borderId="26" xfId="0" applyFont="1" applyFill="1" applyBorder="1" applyAlignment="1">
      <alignment horizontal="left" wrapText="1"/>
    </xf>
    <xf numFmtId="0" fontId="5" fillId="7" borderId="50" xfId="0" applyFont="1" applyFill="1" applyBorder="1" applyAlignment="1">
      <alignment horizontal="left" wrapText="1"/>
    </xf>
    <xf numFmtId="0" fontId="5" fillId="7" borderId="3" xfId="0" applyFont="1" applyFill="1" applyBorder="1" applyAlignment="1">
      <alignment horizontal="left" wrapText="1"/>
    </xf>
    <xf numFmtId="0" fontId="5" fillId="7" borderId="21" xfId="0" applyFont="1" applyFill="1" applyBorder="1" applyAlignment="1">
      <alignment horizontal="left" wrapText="1"/>
    </xf>
    <xf numFmtId="0" fontId="5" fillId="7" borderId="43" xfId="0" applyFont="1" applyFill="1" applyBorder="1" applyAlignment="1">
      <alignment horizontal="left" wrapText="1"/>
    </xf>
    <xf numFmtId="0" fontId="5" fillId="7" borderId="46" xfId="0" applyFont="1" applyFill="1" applyBorder="1" applyAlignment="1">
      <alignment horizontal="left" wrapText="1"/>
    </xf>
    <xf numFmtId="0" fontId="31" fillId="2" borderId="7" xfId="0" applyFont="1" applyFill="1" applyBorder="1" applyAlignment="1">
      <alignment horizontal="left" vertical="center"/>
    </xf>
    <xf numFmtId="0" fontId="31" fillId="2" borderId="10" xfId="0" applyFont="1" applyFill="1" applyBorder="1" applyAlignment="1">
      <alignment horizontal="left" vertical="center"/>
    </xf>
    <xf numFmtId="0" fontId="5" fillId="0" borderId="1" xfId="0" applyFont="1" applyBorder="1" applyAlignment="1">
      <alignment horizontal="left" wrapText="1"/>
    </xf>
    <xf numFmtId="0" fontId="5" fillId="0" borderId="2" xfId="0" applyFont="1" applyBorder="1" applyAlignment="1">
      <alignment horizontal="left" wrapText="1"/>
    </xf>
    <xf numFmtId="0" fontId="5" fillId="0" borderId="44" xfId="0" applyFont="1" applyBorder="1" applyAlignment="1">
      <alignment horizontal="left" wrapText="1"/>
    </xf>
    <xf numFmtId="0" fontId="1" fillId="2" borderId="32" xfId="0" applyFont="1" applyFill="1" applyBorder="1" applyAlignment="1">
      <alignment horizontal="left"/>
    </xf>
    <xf numFmtId="0" fontId="1" fillId="2" borderId="64" xfId="0" applyFont="1" applyFill="1" applyBorder="1" applyAlignment="1">
      <alignment horizontal="left"/>
    </xf>
    <xf numFmtId="0" fontId="1" fillId="2" borderId="41" xfId="0" applyFont="1" applyFill="1" applyBorder="1" applyAlignment="1">
      <alignment horizontal="left"/>
    </xf>
    <xf numFmtId="0" fontId="1" fillId="2" borderId="39" xfId="0" applyFont="1" applyFill="1" applyBorder="1" applyAlignment="1">
      <alignment horizontal="left" vertical="center"/>
    </xf>
    <xf numFmtId="0" fontId="1" fillId="2" borderId="74" xfId="0" applyFont="1" applyFill="1" applyBorder="1" applyAlignment="1">
      <alignment horizontal="left" vertical="center"/>
    </xf>
    <xf numFmtId="0" fontId="21" fillId="2" borderId="0" xfId="0" applyFont="1" applyFill="1" applyAlignment="1">
      <alignment horizontal="left" wrapText="1"/>
    </xf>
    <xf numFmtId="0" fontId="12" fillId="7" borderId="0" xfId="0" applyFont="1" applyFill="1" applyAlignment="1">
      <alignment horizontal="left" vertical="top" wrapText="1"/>
    </xf>
    <xf numFmtId="0" fontId="21" fillId="2" borderId="0" xfId="0" applyFont="1" applyFill="1" applyBorder="1" applyAlignment="1">
      <alignment horizontal="left" wrapText="1"/>
    </xf>
    <xf numFmtId="0" fontId="21" fillId="2" borderId="0" xfId="0" applyFont="1" applyFill="1" applyBorder="1" applyAlignment="1">
      <alignment horizontal="left" vertical="top" wrapText="1"/>
    </xf>
    <xf numFmtId="0" fontId="3" fillId="3" borderId="28" xfId="0" applyFont="1" applyFill="1" applyBorder="1" applyAlignment="1">
      <alignment horizontal="center" vertical="top" wrapText="1"/>
    </xf>
    <xf numFmtId="0" fontId="3" fillId="3" borderId="29" xfId="0" applyFont="1" applyFill="1" applyBorder="1" applyAlignment="1">
      <alignment horizontal="center" vertical="top" wrapText="1"/>
    </xf>
    <xf numFmtId="0" fontId="3" fillId="3" borderId="73" xfId="0" applyFont="1" applyFill="1" applyBorder="1" applyAlignment="1">
      <alignment horizontal="center" vertical="top" wrapText="1"/>
    </xf>
    <xf numFmtId="0" fontId="5" fillId="0" borderId="27" xfId="0" applyFont="1" applyBorder="1" applyAlignment="1">
      <alignment horizontal="left" wrapText="1"/>
    </xf>
    <xf numFmtId="0" fontId="5" fillId="0" borderId="35" xfId="0" applyFont="1" applyBorder="1" applyAlignment="1">
      <alignment horizontal="left" wrapText="1"/>
    </xf>
    <xf numFmtId="0" fontId="5" fillId="0" borderId="42" xfId="0" applyFont="1" applyBorder="1" applyAlignment="1">
      <alignment horizontal="left" wrapText="1"/>
    </xf>
    <xf numFmtId="0" fontId="5" fillId="0" borderId="4" xfId="0" applyFont="1" applyBorder="1" applyAlignment="1">
      <alignment horizontal="left" wrapText="1"/>
    </xf>
    <xf numFmtId="0" fontId="5" fillId="0" borderId="5" xfId="0" applyFont="1" applyBorder="1" applyAlignment="1">
      <alignment horizontal="left" wrapText="1"/>
    </xf>
    <xf numFmtId="0" fontId="5" fillId="0" borderId="60" xfId="0" applyFont="1" applyBorder="1" applyAlignment="1">
      <alignment horizontal="left" wrapText="1"/>
    </xf>
    <xf numFmtId="0" fontId="1" fillId="0" borderId="0" xfId="0" applyFont="1" applyAlignment="1">
      <alignment vertical="top"/>
    </xf>
    <xf numFmtId="0" fontId="0" fillId="0" borderId="38" xfId="0" applyBorder="1" applyAlignment="1">
      <alignment horizontal="left"/>
    </xf>
    <xf numFmtId="0" fontId="0" fillId="0" borderId="94" xfId="0" applyBorder="1" applyAlignment="1">
      <alignment horizontal="left"/>
    </xf>
    <xf numFmtId="0" fontId="0" fillId="0" borderId="84" xfId="0" applyBorder="1" applyAlignment="1">
      <alignment horizontal="left"/>
    </xf>
    <xf numFmtId="0" fontId="0" fillId="0" borderId="36" xfId="0" applyBorder="1" applyAlignment="1">
      <alignment horizontal="left"/>
    </xf>
    <xf numFmtId="0" fontId="0" fillId="0" borderId="64" xfId="0" applyBorder="1" applyAlignment="1">
      <alignment horizontal="left"/>
    </xf>
    <xf numFmtId="0" fontId="0" fillId="0" borderId="62" xfId="0" applyBorder="1" applyAlignment="1">
      <alignment horizontal="left"/>
    </xf>
    <xf numFmtId="0" fontId="1" fillId="2" borderId="22" xfId="0" applyFont="1" applyFill="1" applyBorder="1" applyAlignment="1">
      <alignment horizontal="left" vertical="center"/>
    </xf>
    <xf numFmtId="0" fontId="1" fillId="2" borderId="21" xfId="0" applyFont="1" applyFill="1" applyBorder="1" applyAlignment="1">
      <alignment horizontal="left" vertical="center"/>
    </xf>
    <xf numFmtId="0" fontId="1" fillId="2" borderId="23" xfId="0" applyFont="1" applyFill="1" applyBorder="1" applyAlignment="1">
      <alignment horizontal="left" vertical="center"/>
    </xf>
    <xf numFmtId="0" fontId="1" fillId="2" borderId="3" xfId="0" applyFont="1" applyFill="1" applyBorder="1" applyAlignment="1">
      <alignment horizontal="left" vertical="center"/>
    </xf>
    <xf numFmtId="2" fontId="3" fillId="23" borderId="28" xfId="25" applyNumberFormat="1" applyFont="1" applyFill="1" applyBorder="1" applyAlignment="1">
      <alignment horizontal="center" vertical="center"/>
    </xf>
    <xf numFmtId="2" fontId="3" fillId="23" borderId="29" xfId="25" applyNumberFormat="1" applyFont="1" applyFill="1" applyBorder="1" applyAlignment="1">
      <alignment horizontal="center" vertical="center"/>
    </xf>
    <xf numFmtId="2" fontId="3" fillId="23" borderId="73" xfId="25" applyNumberFormat="1" applyFont="1" applyFill="1" applyBorder="1" applyAlignment="1">
      <alignment horizontal="center" vertical="center"/>
    </xf>
    <xf numFmtId="0" fontId="24" fillId="0" borderId="0" xfId="0" applyFont="1" applyAlignment="1">
      <alignment horizontal="left" vertical="top" wrapText="1"/>
    </xf>
    <xf numFmtId="0" fontId="21" fillId="2" borderId="0" xfId="0" applyFont="1" applyFill="1" applyAlignment="1">
      <alignment horizontal="left" vertical="top" wrapText="1"/>
    </xf>
    <xf numFmtId="0" fontId="21" fillId="7" borderId="0" xfId="0" applyFont="1" applyFill="1" applyAlignment="1">
      <alignment horizontal="left" vertical="center" wrapText="1"/>
    </xf>
    <xf numFmtId="0" fontId="3" fillId="3" borderId="54" xfId="0" applyFont="1" applyFill="1" applyBorder="1" applyAlignment="1">
      <alignment horizontal="center"/>
    </xf>
    <xf numFmtId="0" fontId="3" fillId="3" borderId="18" xfId="0" applyFont="1" applyFill="1" applyBorder="1" applyAlignment="1">
      <alignment horizontal="center"/>
    </xf>
    <xf numFmtId="0" fontId="3" fillId="3" borderId="19" xfId="0" applyFont="1" applyFill="1" applyBorder="1" applyAlignment="1">
      <alignment horizontal="center"/>
    </xf>
    <xf numFmtId="0" fontId="3" fillId="3" borderId="15" xfId="0" applyFont="1" applyFill="1" applyBorder="1" applyAlignment="1">
      <alignment horizontal="center"/>
    </xf>
    <xf numFmtId="0" fontId="3" fillId="3" borderId="16" xfId="0" applyFont="1" applyFill="1" applyBorder="1" applyAlignment="1">
      <alignment horizontal="center"/>
    </xf>
    <xf numFmtId="0" fontId="3" fillId="3" borderId="53" xfId="0" applyFont="1" applyFill="1" applyBorder="1" applyAlignment="1">
      <alignment horizontal="center"/>
    </xf>
    <xf numFmtId="0" fontId="5" fillId="0" borderId="4" xfId="0" applyFont="1" applyBorder="1" applyAlignment="1">
      <alignment horizontal="left"/>
    </xf>
    <xf numFmtId="0" fontId="5" fillId="0" borderId="5" xfId="0" applyFont="1" applyBorder="1" applyAlignment="1">
      <alignment horizontal="left"/>
    </xf>
    <xf numFmtId="0" fontId="5" fillId="0" borderId="60" xfId="0" applyFont="1" applyBorder="1" applyAlignment="1">
      <alignment horizontal="left"/>
    </xf>
    <xf numFmtId="0" fontId="3" fillId="3" borderId="57" xfId="0" applyFont="1" applyFill="1" applyBorder="1" applyAlignment="1">
      <alignment horizontal="center"/>
    </xf>
    <xf numFmtId="0" fontId="3" fillId="3" borderId="17" xfId="0" applyFont="1" applyFill="1" applyBorder="1" applyAlignment="1">
      <alignment horizontal="center"/>
    </xf>
    <xf numFmtId="0" fontId="12" fillId="2" borderId="0" xfId="0" applyFont="1" applyFill="1" applyAlignment="1">
      <alignment horizontal="left" wrapText="1"/>
    </xf>
    <xf numFmtId="0" fontId="5" fillId="7" borderId="0" xfId="13" quotePrefix="1" applyFill="1" applyAlignment="1">
      <alignment horizontal="left" vertical="top" wrapText="1" indent="4"/>
    </xf>
    <xf numFmtId="0" fontId="52" fillId="18" borderId="2" xfId="0" applyFont="1" applyFill="1" applyBorder="1" applyAlignment="1">
      <alignment vertical="center" wrapText="1"/>
    </xf>
    <xf numFmtId="0" fontId="5" fillId="7" borderId="0" xfId="13" applyFont="1" applyFill="1" applyAlignment="1">
      <alignment horizontal="left" wrapText="1" indent="1"/>
    </xf>
    <xf numFmtId="0" fontId="5" fillId="7" borderId="0" xfId="13" applyFill="1" applyAlignment="1">
      <alignment horizontal="left" wrapText="1"/>
    </xf>
    <xf numFmtId="0" fontId="3" fillId="0" borderId="28" xfId="13" applyFont="1" applyBorder="1" applyAlignment="1">
      <alignment horizontal="center"/>
    </xf>
    <xf numFmtId="0" fontId="3" fillId="0" borderId="29" xfId="13" applyFont="1" applyBorder="1" applyAlignment="1">
      <alignment horizontal="center"/>
    </xf>
    <xf numFmtId="0" fontId="3" fillId="0" borderId="73" xfId="13" applyFont="1" applyBorder="1" applyAlignment="1">
      <alignment horizontal="center"/>
    </xf>
    <xf numFmtId="0" fontId="5" fillId="7" borderId="0" xfId="13" applyFont="1" applyFill="1" applyAlignment="1">
      <alignment horizontal="left" wrapText="1"/>
    </xf>
    <xf numFmtId="0" fontId="5" fillId="7" borderId="0" xfId="13" applyFont="1" applyFill="1" applyAlignment="1">
      <alignment wrapText="1"/>
    </xf>
    <xf numFmtId="0" fontId="22" fillId="21" borderId="0" xfId="0" applyFont="1" applyFill="1" applyBorder="1" applyAlignment="1" applyProtection="1">
      <alignment horizontal="center" vertical="center"/>
      <protection locked="0"/>
    </xf>
    <xf numFmtId="0" fontId="12" fillId="7" borderId="0" xfId="0" applyFont="1" applyFill="1" applyAlignment="1">
      <alignment horizontal="left" wrapText="1"/>
    </xf>
    <xf numFmtId="0" fontId="11" fillId="7" borderId="0" xfId="13" applyFont="1" applyFill="1" applyAlignment="1">
      <alignment horizontal="left" wrapText="1"/>
    </xf>
    <xf numFmtId="0" fontId="5" fillId="7" borderId="0" xfId="13" applyFill="1" applyAlignment="1">
      <alignment horizontal="left" vertical="top" wrapText="1"/>
    </xf>
    <xf numFmtId="0" fontId="21" fillId="7" borderId="16" xfId="13" applyFont="1" applyFill="1" applyBorder="1" applyAlignment="1">
      <alignment horizontal="left" vertical="center" wrapText="1"/>
    </xf>
    <xf numFmtId="0" fontId="3" fillId="14" borderId="28" xfId="13" applyFont="1" applyFill="1" applyBorder="1" applyAlignment="1">
      <alignment horizontal="center"/>
    </xf>
    <xf numFmtId="0" fontId="3" fillId="14" borderId="29" xfId="13" applyFont="1" applyFill="1" applyBorder="1" applyAlignment="1">
      <alignment horizontal="center"/>
    </xf>
    <xf numFmtId="0" fontId="3" fillId="14" borderId="73" xfId="13" applyFont="1" applyFill="1" applyBorder="1" applyAlignment="1">
      <alignment horizontal="center"/>
    </xf>
    <xf numFmtId="0" fontId="1" fillId="7" borderId="0" xfId="13" applyFont="1" applyFill="1" applyAlignment="1">
      <alignment horizontal="left" wrapText="1" indent="1"/>
    </xf>
    <xf numFmtId="0" fontId="5" fillId="2" borderId="0" xfId="13" applyFont="1" applyFill="1" applyAlignment="1">
      <alignment horizontal="left" vertical="top" wrapText="1" indent="1"/>
    </xf>
    <xf numFmtId="0" fontId="14" fillId="7" borderId="0" xfId="0" applyFont="1" applyFill="1" applyAlignment="1">
      <alignment horizontal="left" wrapText="1"/>
    </xf>
    <xf numFmtId="0" fontId="3" fillId="7" borderId="0" xfId="13" applyFont="1" applyFill="1" applyBorder="1" applyAlignment="1">
      <alignment horizontal="center"/>
    </xf>
    <xf numFmtId="0" fontId="5" fillId="7" borderId="0" xfId="13" applyFont="1" applyFill="1" applyAlignment="1">
      <alignment horizontal="left" vertical="top"/>
    </xf>
    <xf numFmtId="0" fontId="5" fillId="7" borderId="0" xfId="13" applyFont="1" applyFill="1" applyAlignment="1">
      <alignment horizontal="left" vertical="center" wrapText="1"/>
    </xf>
    <xf numFmtId="0" fontId="5" fillId="7" borderId="0" xfId="0" quotePrefix="1" applyFont="1" applyFill="1" applyAlignment="1">
      <alignment horizontal="center" wrapText="1"/>
    </xf>
    <xf numFmtId="0" fontId="3" fillId="16" borderId="2" xfId="0" applyFont="1" applyFill="1" applyBorder="1" applyAlignment="1">
      <alignment horizontal="center"/>
    </xf>
    <xf numFmtId="0" fontId="3" fillId="16" borderId="2" xfId="0" applyFont="1" applyFill="1" applyBorder="1" applyAlignment="1">
      <alignment horizontal="center" wrapText="1"/>
    </xf>
    <xf numFmtId="0" fontId="1" fillId="7" borderId="0" xfId="13" applyFont="1" applyFill="1" applyAlignment="1">
      <alignment horizontal="left" vertical="top" wrapText="1"/>
    </xf>
  </cellXfs>
  <cellStyles count="26">
    <cellStyle name="Body: normal cell" xfId="1" xr:uid="{00000000-0005-0000-0000-000000000000}"/>
    <cellStyle name="Comma" xfId="2" builtinId="3"/>
    <cellStyle name="Comma 2" xfId="3" xr:uid="{00000000-0005-0000-0000-000002000000}"/>
    <cellStyle name="Comma0" xfId="4" xr:uid="{00000000-0005-0000-0000-000003000000}"/>
    <cellStyle name="Currency 2" xfId="5" xr:uid="{00000000-0005-0000-0000-000005000000}"/>
    <cellStyle name="Currency0" xfId="6" xr:uid="{00000000-0005-0000-0000-000006000000}"/>
    <cellStyle name="Euro" xfId="7" xr:uid="{00000000-0005-0000-0000-000007000000}"/>
    <cellStyle name="Hyperlink" xfId="8" builtinId="8"/>
    <cellStyle name="Milliers [0]_Annex_comb_guideline_version4-2" xfId="9" xr:uid="{00000000-0005-0000-0000-000009000000}"/>
    <cellStyle name="Milliers_Annex_comb_guideline_version4-2" xfId="10" xr:uid="{00000000-0005-0000-0000-00000A000000}"/>
    <cellStyle name="Monétaire [0]_Annex comb guideline 4-7" xfId="11" xr:uid="{00000000-0005-0000-0000-00000B000000}"/>
    <cellStyle name="Monétaire_Annex_comb_guideline_version4-2" xfId="12" xr:uid="{00000000-0005-0000-0000-00000C000000}"/>
    <cellStyle name="Normal" xfId="0" builtinId="0"/>
    <cellStyle name="Normal 128" xfId="25" xr:uid="{368F7367-2F3C-49F5-BBA1-84D4D8D56B0E}"/>
    <cellStyle name="Normal 2" xfId="13" xr:uid="{00000000-0005-0000-0000-00000E000000}"/>
    <cellStyle name="Normal 3" xfId="14" xr:uid="{00000000-0005-0000-0000-00000F000000}"/>
    <cellStyle name="Normal 4" xfId="15" xr:uid="{00000000-0005-0000-0000-000010000000}"/>
    <cellStyle name="Normal 5" xfId="16" xr:uid="{00000000-0005-0000-0000-000011000000}"/>
    <cellStyle name="Parent row" xfId="17" xr:uid="{00000000-0005-0000-0000-000012000000}"/>
    <cellStyle name="Percent" xfId="18" builtinId="5"/>
    <cellStyle name="Percent 2" xfId="19" xr:uid="{00000000-0005-0000-0000-000014000000}"/>
    <cellStyle name="Percent 3" xfId="20" xr:uid="{00000000-0005-0000-0000-000015000000}"/>
    <cellStyle name="Source Hed" xfId="21" xr:uid="{00000000-0005-0000-0000-000016000000}"/>
    <cellStyle name="Source Text" xfId="22" xr:uid="{00000000-0005-0000-0000-000017000000}"/>
    <cellStyle name="Title-1" xfId="23" xr:uid="{00000000-0005-0000-0000-000018000000}"/>
    <cellStyle name="Title-2" xfId="24" xr:uid="{00000000-0005-0000-0000-000019000000}"/>
  </cellStyles>
  <dxfs count="1">
    <dxf>
      <fill>
        <patternFill>
          <bgColor theme="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45"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customXml" Target="../customXml/item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00.xml.rels><?xml version="1.0" encoding="UTF-8" standalone="yes"?>
<Relationships xmlns="http://schemas.openxmlformats.org/package/2006/relationships"><Relationship Id="rId1" Type="http://schemas.microsoft.com/office/2006/relationships/activeXControlBinary" Target="activeX100.bin"/></Relationships>
</file>

<file path=xl/activeX/_rels/activeX101.xml.rels><?xml version="1.0" encoding="UTF-8" standalone="yes"?>
<Relationships xmlns="http://schemas.openxmlformats.org/package/2006/relationships"><Relationship Id="rId1" Type="http://schemas.microsoft.com/office/2006/relationships/activeXControlBinary" Target="activeX101.bin"/></Relationships>
</file>

<file path=xl/activeX/_rels/activeX102.xml.rels><?xml version="1.0" encoding="UTF-8" standalone="yes"?>
<Relationships xmlns="http://schemas.openxmlformats.org/package/2006/relationships"><Relationship Id="rId1" Type="http://schemas.microsoft.com/office/2006/relationships/activeXControlBinary" Target="activeX102.bin"/></Relationships>
</file>

<file path=xl/activeX/_rels/activeX103.xml.rels><?xml version="1.0" encoding="UTF-8" standalone="yes"?>
<Relationships xmlns="http://schemas.openxmlformats.org/package/2006/relationships"><Relationship Id="rId1" Type="http://schemas.microsoft.com/office/2006/relationships/activeXControlBinary" Target="activeX103.bin"/></Relationships>
</file>

<file path=xl/activeX/_rels/activeX104.xml.rels><?xml version="1.0" encoding="UTF-8" standalone="yes"?>
<Relationships xmlns="http://schemas.openxmlformats.org/package/2006/relationships"><Relationship Id="rId1" Type="http://schemas.microsoft.com/office/2006/relationships/activeXControlBinary" Target="activeX104.bin"/></Relationships>
</file>

<file path=xl/activeX/_rels/activeX105.xml.rels><?xml version="1.0" encoding="UTF-8" standalone="yes"?>
<Relationships xmlns="http://schemas.openxmlformats.org/package/2006/relationships"><Relationship Id="rId1" Type="http://schemas.microsoft.com/office/2006/relationships/activeXControlBinary" Target="activeX105.bin"/></Relationships>
</file>

<file path=xl/activeX/_rels/activeX106.xml.rels><?xml version="1.0" encoding="UTF-8" standalone="yes"?>
<Relationships xmlns="http://schemas.openxmlformats.org/package/2006/relationships"><Relationship Id="rId1" Type="http://schemas.microsoft.com/office/2006/relationships/activeXControlBinary" Target="activeX106.bin"/></Relationships>
</file>

<file path=xl/activeX/_rels/activeX107.xml.rels><?xml version="1.0" encoding="UTF-8" standalone="yes"?>
<Relationships xmlns="http://schemas.openxmlformats.org/package/2006/relationships"><Relationship Id="rId1" Type="http://schemas.microsoft.com/office/2006/relationships/activeXControlBinary" Target="activeX107.bin"/></Relationships>
</file>

<file path=xl/activeX/_rels/activeX108.xml.rels><?xml version="1.0" encoding="UTF-8" standalone="yes"?>
<Relationships xmlns="http://schemas.openxmlformats.org/package/2006/relationships"><Relationship Id="rId1" Type="http://schemas.microsoft.com/office/2006/relationships/activeXControlBinary" Target="activeX108.bin"/></Relationships>
</file>

<file path=xl/activeX/_rels/activeX109.xml.rels><?xml version="1.0" encoding="UTF-8" standalone="yes"?>
<Relationships xmlns="http://schemas.openxmlformats.org/package/2006/relationships"><Relationship Id="rId1" Type="http://schemas.microsoft.com/office/2006/relationships/activeXControlBinary" Target="activeX109.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10.xml.rels><?xml version="1.0" encoding="UTF-8" standalone="yes"?>
<Relationships xmlns="http://schemas.openxmlformats.org/package/2006/relationships"><Relationship Id="rId1" Type="http://schemas.microsoft.com/office/2006/relationships/activeXControlBinary" Target="activeX110.bin"/></Relationships>
</file>

<file path=xl/activeX/_rels/activeX111.xml.rels><?xml version="1.0" encoding="UTF-8" standalone="yes"?>
<Relationships xmlns="http://schemas.openxmlformats.org/package/2006/relationships"><Relationship Id="rId1" Type="http://schemas.microsoft.com/office/2006/relationships/activeXControlBinary" Target="activeX111.bin"/></Relationships>
</file>

<file path=xl/activeX/_rels/activeX112.xml.rels><?xml version="1.0" encoding="UTF-8" standalone="yes"?>
<Relationships xmlns="http://schemas.openxmlformats.org/package/2006/relationships"><Relationship Id="rId1" Type="http://schemas.microsoft.com/office/2006/relationships/activeXControlBinary" Target="activeX112.bin"/></Relationships>
</file>

<file path=xl/activeX/_rels/activeX113.xml.rels><?xml version="1.0" encoding="UTF-8" standalone="yes"?>
<Relationships xmlns="http://schemas.openxmlformats.org/package/2006/relationships"><Relationship Id="rId1" Type="http://schemas.microsoft.com/office/2006/relationships/activeXControlBinary" Target="activeX113.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62.xml.rels><?xml version="1.0" encoding="UTF-8" standalone="yes"?>
<Relationships xmlns="http://schemas.openxmlformats.org/package/2006/relationships"><Relationship Id="rId1" Type="http://schemas.microsoft.com/office/2006/relationships/activeXControlBinary" Target="activeX62.bin"/></Relationships>
</file>

<file path=xl/activeX/_rels/activeX63.xml.rels><?xml version="1.0" encoding="UTF-8" standalone="yes"?>
<Relationships xmlns="http://schemas.openxmlformats.org/package/2006/relationships"><Relationship Id="rId1" Type="http://schemas.microsoft.com/office/2006/relationships/activeXControlBinary" Target="activeX63.bin"/></Relationships>
</file>

<file path=xl/activeX/_rels/activeX64.xml.rels><?xml version="1.0" encoding="UTF-8" standalone="yes"?>
<Relationships xmlns="http://schemas.openxmlformats.org/package/2006/relationships"><Relationship Id="rId1" Type="http://schemas.microsoft.com/office/2006/relationships/activeXControlBinary" Target="activeX64.bin"/></Relationships>
</file>

<file path=xl/activeX/_rels/activeX65.xml.rels><?xml version="1.0" encoding="UTF-8" standalone="yes"?>
<Relationships xmlns="http://schemas.openxmlformats.org/package/2006/relationships"><Relationship Id="rId1" Type="http://schemas.microsoft.com/office/2006/relationships/activeXControlBinary" Target="activeX65.bin"/></Relationships>
</file>

<file path=xl/activeX/_rels/activeX66.xml.rels><?xml version="1.0" encoding="UTF-8" standalone="yes"?>
<Relationships xmlns="http://schemas.openxmlformats.org/package/2006/relationships"><Relationship Id="rId1" Type="http://schemas.microsoft.com/office/2006/relationships/activeXControlBinary" Target="activeX66.bin"/></Relationships>
</file>

<file path=xl/activeX/_rels/activeX67.xml.rels><?xml version="1.0" encoding="UTF-8" standalone="yes"?>
<Relationships xmlns="http://schemas.openxmlformats.org/package/2006/relationships"><Relationship Id="rId1" Type="http://schemas.microsoft.com/office/2006/relationships/activeXControlBinary" Target="activeX67.bin"/></Relationships>
</file>

<file path=xl/activeX/_rels/activeX68.xml.rels><?xml version="1.0" encoding="UTF-8" standalone="yes"?>
<Relationships xmlns="http://schemas.openxmlformats.org/package/2006/relationships"><Relationship Id="rId1" Type="http://schemas.microsoft.com/office/2006/relationships/activeXControlBinary" Target="activeX68.bin"/></Relationships>
</file>

<file path=xl/activeX/_rels/activeX69.xml.rels><?xml version="1.0" encoding="UTF-8" standalone="yes"?>
<Relationships xmlns="http://schemas.openxmlformats.org/package/2006/relationships"><Relationship Id="rId1" Type="http://schemas.microsoft.com/office/2006/relationships/activeXControlBinary" Target="activeX69.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70.xml.rels><?xml version="1.0" encoding="UTF-8" standalone="yes"?>
<Relationships xmlns="http://schemas.openxmlformats.org/package/2006/relationships"><Relationship Id="rId1" Type="http://schemas.microsoft.com/office/2006/relationships/activeXControlBinary" Target="activeX70.bin"/></Relationships>
</file>

<file path=xl/activeX/_rels/activeX71.xml.rels><?xml version="1.0" encoding="UTF-8" standalone="yes"?>
<Relationships xmlns="http://schemas.openxmlformats.org/package/2006/relationships"><Relationship Id="rId1" Type="http://schemas.microsoft.com/office/2006/relationships/activeXControlBinary" Target="activeX71.bin"/></Relationships>
</file>

<file path=xl/activeX/_rels/activeX72.xml.rels><?xml version="1.0" encoding="UTF-8" standalone="yes"?>
<Relationships xmlns="http://schemas.openxmlformats.org/package/2006/relationships"><Relationship Id="rId1" Type="http://schemas.microsoft.com/office/2006/relationships/activeXControlBinary" Target="activeX72.bin"/></Relationships>
</file>

<file path=xl/activeX/_rels/activeX73.xml.rels><?xml version="1.0" encoding="UTF-8" standalone="yes"?>
<Relationships xmlns="http://schemas.openxmlformats.org/package/2006/relationships"><Relationship Id="rId1" Type="http://schemas.microsoft.com/office/2006/relationships/activeXControlBinary" Target="activeX73.bin"/></Relationships>
</file>

<file path=xl/activeX/_rels/activeX74.xml.rels><?xml version="1.0" encoding="UTF-8" standalone="yes"?>
<Relationships xmlns="http://schemas.openxmlformats.org/package/2006/relationships"><Relationship Id="rId1" Type="http://schemas.microsoft.com/office/2006/relationships/activeXControlBinary" Target="activeX74.bin"/></Relationships>
</file>

<file path=xl/activeX/_rels/activeX75.xml.rels><?xml version="1.0" encoding="UTF-8" standalone="yes"?>
<Relationships xmlns="http://schemas.openxmlformats.org/package/2006/relationships"><Relationship Id="rId1" Type="http://schemas.microsoft.com/office/2006/relationships/activeXControlBinary" Target="activeX75.bin"/></Relationships>
</file>

<file path=xl/activeX/_rels/activeX76.xml.rels><?xml version="1.0" encoding="UTF-8" standalone="yes"?>
<Relationships xmlns="http://schemas.openxmlformats.org/package/2006/relationships"><Relationship Id="rId1" Type="http://schemas.microsoft.com/office/2006/relationships/activeXControlBinary" Target="activeX76.bin"/></Relationships>
</file>

<file path=xl/activeX/_rels/activeX77.xml.rels><?xml version="1.0" encoding="UTF-8" standalone="yes"?>
<Relationships xmlns="http://schemas.openxmlformats.org/package/2006/relationships"><Relationship Id="rId1" Type="http://schemas.microsoft.com/office/2006/relationships/activeXControlBinary" Target="activeX77.bin"/></Relationships>
</file>

<file path=xl/activeX/_rels/activeX78.xml.rels><?xml version="1.0" encoding="UTF-8" standalone="yes"?>
<Relationships xmlns="http://schemas.openxmlformats.org/package/2006/relationships"><Relationship Id="rId1" Type="http://schemas.microsoft.com/office/2006/relationships/activeXControlBinary" Target="activeX78.bin"/></Relationships>
</file>

<file path=xl/activeX/_rels/activeX79.xml.rels><?xml version="1.0" encoding="UTF-8" standalone="yes"?>
<Relationships xmlns="http://schemas.openxmlformats.org/package/2006/relationships"><Relationship Id="rId1" Type="http://schemas.microsoft.com/office/2006/relationships/activeXControlBinary" Target="activeX79.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80.xml.rels><?xml version="1.0" encoding="UTF-8" standalone="yes"?>
<Relationships xmlns="http://schemas.openxmlformats.org/package/2006/relationships"><Relationship Id="rId1" Type="http://schemas.microsoft.com/office/2006/relationships/activeXControlBinary" Target="activeX80.bin"/></Relationships>
</file>

<file path=xl/activeX/_rels/activeX81.xml.rels><?xml version="1.0" encoding="UTF-8" standalone="yes"?>
<Relationships xmlns="http://schemas.openxmlformats.org/package/2006/relationships"><Relationship Id="rId1" Type="http://schemas.microsoft.com/office/2006/relationships/activeXControlBinary" Target="activeX81.bin"/></Relationships>
</file>

<file path=xl/activeX/_rels/activeX82.xml.rels><?xml version="1.0" encoding="UTF-8" standalone="yes"?>
<Relationships xmlns="http://schemas.openxmlformats.org/package/2006/relationships"><Relationship Id="rId1" Type="http://schemas.microsoft.com/office/2006/relationships/activeXControlBinary" Target="activeX82.bin"/></Relationships>
</file>

<file path=xl/activeX/_rels/activeX83.xml.rels><?xml version="1.0" encoding="UTF-8" standalone="yes"?>
<Relationships xmlns="http://schemas.openxmlformats.org/package/2006/relationships"><Relationship Id="rId1" Type="http://schemas.microsoft.com/office/2006/relationships/activeXControlBinary" Target="activeX83.bin"/></Relationships>
</file>

<file path=xl/activeX/_rels/activeX84.xml.rels><?xml version="1.0" encoding="UTF-8" standalone="yes"?>
<Relationships xmlns="http://schemas.openxmlformats.org/package/2006/relationships"><Relationship Id="rId1" Type="http://schemas.microsoft.com/office/2006/relationships/activeXControlBinary" Target="activeX84.bin"/></Relationships>
</file>

<file path=xl/activeX/_rels/activeX85.xml.rels><?xml version="1.0" encoding="UTF-8" standalone="yes"?>
<Relationships xmlns="http://schemas.openxmlformats.org/package/2006/relationships"><Relationship Id="rId1" Type="http://schemas.microsoft.com/office/2006/relationships/activeXControlBinary" Target="activeX85.bin"/></Relationships>
</file>

<file path=xl/activeX/_rels/activeX86.xml.rels><?xml version="1.0" encoding="UTF-8" standalone="yes"?>
<Relationships xmlns="http://schemas.openxmlformats.org/package/2006/relationships"><Relationship Id="rId1" Type="http://schemas.microsoft.com/office/2006/relationships/activeXControlBinary" Target="activeX86.bin"/></Relationships>
</file>

<file path=xl/activeX/_rels/activeX87.xml.rels><?xml version="1.0" encoding="UTF-8" standalone="yes"?>
<Relationships xmlns="http://schemas.openxmlformats.org/package/2006/relationships"><Relationship Id="rId1" Type="http://schemas.microsoft.com/office/2006/relationships/activeXControlBinary" Target="activeX87.bin"/></Relationships>
</file>

<file path=xl/activeX/_rels/activeX88.xml.rels><?xml version="1.0" encoding="UTF-8" standalone="yes"?>
<Relationships xmlns="http://schemas.openxmlformats.org/package/2006/relationships"><Relationship Id="rId1" Type="http://schemas.microsoft.com/office/2006/relationships/activeXControlBinary" Target="activeX88.bin"/></Relationships>
</file>

<file path=xl/activeX/_rels/activeX89.xml.rels><?xml version="1.0" encoding="UTF-8" standalone="yes"?>
<Relationships xmlns="http://schemas.openxmlformats.org/package/2006/relationships"><Relationship Id="rId1" Type="http://schemas.microsoft.com/office/2006/relationships/activeXControlBinary" Target="activeX89.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_rels/activeX90.xml.rels><?xml version="1.0" encoding="UTF-8" standalone="yes"?>
<Relationships xmlns="http://schemas.openxmlformats.org/package/2006/relationships"><Relationship Id="rId1" Type="http://schemas.microsoft.com/office/2006/relationships/activeXControlBinary" Target="activeX90.bin"/></Relationships>
</file>

<file path=xl/activeX/_rels/activeX91.xml.rels><?xml version="1.0" encoding="UTF-8" standalone="yes"?>
<Relationships xmlns="http://schemas.openxmlformats.org/package/2006/relationships"><Relationship Id="rId1" Type="http://schemas.microsoft.com/office/2006/relationships/activeXControlBinary" Target="activeX91.bin"/></Relationships>
</file>

<file path=xl/activeX/_rels/activeX92.xml.rels><?xml version="1.0" encoding="UTF-8" standalone="yes"?>
<Relationships xmlns="http://schemas.openxmlformats.org/package/2006/relationships"><Relationship Id="rId1" Type="http://schemas.microsoft.com/office/2006/relationships/activeXControlBinary" Target="activeX92.bin"/></Relationships>
</file>

<file path=xl/activeX/_rels/activeX93.xml.rels><?xml version="1.0" encoding="UTF-8" standalone="yes"?>
<Relationships xmlns="http://schemas.openxmlformats.org/package/2006/relationships"><Relationship Id="rId1" Type="http://schemas.microsoft.com/office/2006/relationships/activeXControlBinary" Target="activeX93.bin"/></Relationships>
</file>

<file path=xl/activeX/_rels/activeX94.xml.rels><?xml version="1.0" encoding="UTF-8" standalone="yes"?>
<Relationships xmlns="http://schemas.openxmlformats.org/package/2006/relationships"><Relationship Id="rId1" Type="http://schemas.microsoft.com/office/2006/relationships/activeXControlBinary" Target="activeX94.bin"/></Relationships>
</file>

<file path=xl/activeX/_rels/activeX95.xml.rels><?xml version="1.0" encoding="UTF-8" standalone="yes"?>
<Relationships xmlns="http://schemas.openxmlformats.org/package/2006/relationships"><Relationship Id="rId1" Type="http://schemas.microsoft.com/office/2006/relationships/activeXControlBinary" Target="activeX95.bin"/></Relationships>
</file>

<file path=xl/activeX/_rels/activeX96.xml.rels><?xml version="1.0" encoding="UTF-8" standalone="yes"?>
<Relationships xmlns="http://schemas.openxmlformats.org/package/2006/relationships"><Relationship Id="rId1" Type="http://schemas.microsoft.com/office/2006/relationships/activeXControlBinary" Target="activeX96.bin"/></Relationships>
</file>

<file path=xl/activeX/_rels/activeX97.xml.rels><?xml version="1.0" encoding="UTF-8" standalone="yes"?>
<Relationships xmlns="http://schemas.openxmlformats.org/package/2006/relationships"><Relationship Id="rId1" Type="http://schemas.microsoft.com/office/2006/relationships/activeXControlBinary" Target="activeX97.bin"/></Relationships>
</file>

<file path=xl/activeX/_rels/activeX98.xml.rels><?xml version="1.0" encoding="UTF-8" standalone="yes"?>
<Relationships xmlns="http://schemas.openxmlformats.org/package/2006/relationships"><Relationship Id="rId1" Type="http://schemas.microsoft.com/office/2006/relationships/activeXControlBinary" Target="activeX98.bin"/></Relationships>
</file>

<file path=xl/activeX/_rels/activeX99.xml.rels><?xml version="1.0" encoding="UTF-8" standalone="yes"?>
<Relationships xmlns="http://schemas.openxmlformats.org/package/2006/relationships"><Relationship Id="rId1" Type="http://schemas.microsoft.com/office/2006/relationships/activeXControlBinary" Target="activeX99.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10.xml><?xml version="1.0" encoding="utf-8"?>
<ax:ocx xmlns:ax="http://schemas.microsoft.com/office/2006/activeX" xmlns:r="http://schemas.openxmlformats.org/officeDocument/2006/relationships" ax:classid="{D7053240-CE69-11CD-A777-00DD01143C57}" ax:persistence="persistStreamInit" r:id="rId1"/>
</file>

<file path=xl/activeX/activeX100.xml><?xml version="1.0" encoding="utf-8"?>
<ax:ocx xmlns:ax="http://schemas.microsoft.com/office/2006/activeX" xmlns:r="http://schemas.openxmlformats.org/officeDocument/2006/relationships" ax:classid="{D7053240-CE69-11CD-A777-00DD01143C57}" ax:persistence="persistStreamInit" r:id="rId1"/>
</file>

<file path=xl/activeX/activeX101.xml><?xml version="1.0" encoding="utf-8"?>
<ax:ocx xmlns:ax="http://schemas.microsoft.com/office/2006/activeX" xmlns:r="http://schemas.openxmlformats.org/officeDocument/2006/relationships" ax:classid="{D7053240-CE69-11CD-A777-00DD01143C57}" ax:persistence="persistStreamInit" r:id="rId1"/>
</file>

<file path=xl/activeX/activeX102.xml><?xml version="1.0" encoding="utf-8"?>
<ax:ocx xmlns:ax="http://schemas.microsoft.com/office/2006/activeX" xmlns:r="http://schemas.openxmlformats.org/officeDocument/2006/relationships" ax:classid="{D7053240-CE69-11CD-A777-00DD01143C57}" ax:persistence="persistStreamInit" r:id="rId1"/>
</file>

<file path=xl/activeX/activeX103.xml><?xml version="1.0" encoding="utf-8"?>
<ax:ocx xmlns:ax="http://schemas.microsoft.com/office/2006/activeX" xmlns:r="http://schemas.openxmlformats.org/officeDocument/2006/relationships" ax:classid="{D7053240-CE69-11CD-A777-00DD01143C57}" ax:persistence="persistStreamInit" r:id="rId1"/>
</file>

<file path=xl/activeX/activeX104.xml><?xml version="1.0" encoding="utf-8"?>
<ax:ocx xmlns:ax="http://schemas.microsoft.com/office/2006/activeX" xmlns:r="http://schemas.openxmlformats.org/officeDocument/2006/relationships" ax:classid="{D7053240-CE69-11CD-A777-00DD01143C57}" ax:persistence="persistStreamInit" r:id="rId1"/>
</file>

<file path=xl/activeX/activeX105.xml><?xml version="1.0" encoding="utf-8"?>
<ax:ocx xmlns:ax="http://schemas.microsoft.com/office/2006/activeX" xmlns:r="http://schemas.openxmlformats.org/officeDocument/2006/relationships" ax:classid="{D7053240-CE69-11CD-A777-00DD01143C57}" ax:persistence="persistStreamInit" r:id="rId1"/>
</file>

<file path=xl/activeX/activeX106.xml><?xml version="1.0" encoding="utf-8"?>
<ax:ocx xmlns:ax="http://schemas.microsoft.com/office/2006/activeX" xmlns:r="http://schemas.openxmlformats.org/officeDocument/2006/relationships" ax:classid="{D7053240-CE69-11CD-A777-00DD01143C57}" ax:persistence="persistStreamInit" r:id="rId1"/>
</file>

<file path=xl/activeX/activeX107.xml><?xml version="1.0" encoding="utf-8"?>
<ax:ocx xmlns:ax="http://schemas.microsoft.com/office/2006/activeX" xmlns:r="http://schemas.openxmlformats.org/officeDocument/2006/relationships" ax:classid="{D7053240-CE69-11CD-A777-00DD01143C57}" ax:persistence="persistStreamInit" r:id="rId1"/>
</file>

<file path=xl/activeX/activeX108.xml><?xml version="1.0" encoding="utf-8"?>
<ax:ocx xmlns:ax="http://schemas.microsoft.com/office/2006/activeX" xmlns:r="http://schemas.openxmlformats.org/officeDocument/2006/relationships" ax:classid="{D7053240-CE69-11CD-A777-00DD01143C57}" ax:persistence="persistStreamInit" r:id="rId1"/>
</file>

<file path=xl/activeX/activeX109.xml><?xml version="1.0" encoding="utf-8"?>
<ax:ocx xmlns:ax="http://schemas.microsoft.com/office/2006/activeX" xmlns:r="http://schemas.openxmlformats.org/officeDocument/2006/relationships" ax:classid="{D7053240-CE69-11CD-A777-00DD01143C57}" ax:persistence="persistStreamInit" r:id="rId1"/>
</file>

<file path=xl/activeX/activeX11.xml><?xml version="1.0" encoding="utf-8"?>
<ax:ocx xmlns:ax="http://schemas.microsoft.com/office/2006/activeX" xmlns:r="http://schemas.openxmlformats.org/officeDocument/2006/relationships" ax:classid="{D7053240-CE69-11CD-A777-00DD01143C57}" ax:persistence="persistStreamInit" r:id="rId1"/>
</file>

<file path=xl/activeX/activeX110.xml><?xml version="1.0" encoding="utf-8"?>
<ax:ocx xmlns:ax="http://schemas.microsoft.com/office/2006/activeX" xmlns:r="http://schemas.openxmlformats.org/officeDocument/2006/relationships" ax:classid="{D7053240-CE69-11CD-A777-00DD01143C57}" ax:persistence="persistStreamInit" r:id="rId1"/>
</file>

<file path=xl/activeX/activeX111.xml><?xml version="1.0" encoding="utf-8"?>
<ax:ocx xmlns:ax="http://schemas.microsoft.com/office/2006/activeX" xmlns:r="http://schemas.openxmlformats.org/officeDocument/2006/relationships" ax:classid="{D7053240-CE69-11CD-A777-00DD01143C57}" ax:persistence="persistStreamInit" r:id="rId1"/>
</file>

<file path=xl/activeX/activeX112.xml><?xml version="1.0" encoding="utf-8"?>
<ax:ocx xmlns:ax="http://schemas.microsoft.com/office/2006/activeX" xmlns:r="http://schemas.openxmlformats.org/officeDocument/2006/relationships" ax:classid="{D7053240-CE69-11CD-A777-00DD01143C57}" ax:persistence="persistStreamInit" r:id="rId1"/>
</file>

<file path=xl/activeX/activeX113.xml><?xml version="1.0" encoding="utf-8"?>
<ax:ocx xmlns:ax="http://schemas.microsoft.com/office/2006/activeX" xmlns:r="http://schemas.openxmlformats.org/officeDocument/2006/relationships" ax:classid="{D7053240-CE69-11CD-A777-00DD01143C57}" ax:persistence="persistStreamInit" r:id="rId1"/>
</file>

<file path=xl/activeX/activeX12.xml><?xml version="1.0" encoding="utf-8"?>
<ax:ocx xmlns:ax="http://schemas.microsoft.com/office/2006/activeX" xmlns:r="http://schemas.openxmlformats.org/officeDocument/2006/relationships" ax:classid="{D7053240-CE69-11CD-A777-00DD01143C57}" ax:persistence="persistStreamInit" r:id="rId1"/>
</file>

<file path=xl/activeX/activeX13.xml><?xml version="1.0" encoding="utf-8"?>
<ax:ocx xmlns:ax="http://schemas.microsoft.com/office/2006/activeX" xmlns:r="http://schemas.openxmlformats.org/officeDocument/2006/relationships" ax:classid="{D7053240-CE69-11CD-A777-00DD01143C57}" ax:persistence="persistStreamInit" r:id="rId1"/>
</file>

<file path=xl/activeX/activeX14.xml><?xml version="1.0" encoding="utf-8"?>
<ax:ocx xmlns:ax="http://schemas.microsoft.com/office/2006/activeX" xmlns:r="http://schemas.openxmlformats.org/officeDocument/2006/relationships" ax:classid="{D7053240-CE69-11CD-A777-00DD01143C57}"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D7053240-CE69-11CD-A777-00DD01143C57}" ax:persistence="persistStreamInit" r:id="rId1"/>
</file>

<file path=xl/activeX/activeX19.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20.xml><?xml version="1.0" encoding="utf-8"?>
<ax:ocx xmlns:ax="http://schemas.microsoft.com/office/2006/activeX" xmlns:r="http://schemas.openxmlformats.org/officeDocument/2006/relationships" ax:classid="{D7053240-CE69-11CD-A777-00DD01143C57}" ax:persistence="persistStreamInit" r:id="rId1"/>
</file>

<file path=xl/activeX/activeX21.xml><?xml version="1.0" encoding="utf-8"?>
<ax:ocx xmlns:ax="http://schemas.microsoft.com/office/2006/activeX" xmlns:r="http://schemas.openxmlformats.org/officeDocument/2006/relationships" ax:classid="{D7053240-CE69-11CD-A777-00DD01143C57}"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D7053240-CE69-11CD-A777-00DD01143C57}" ax:persistence="persistStreamInit" r:id="rId1"/>
</file>

<file path=xl/activeX/activeX24.xml><?xml version="1.0" encoding="utf-8"?>
<ax:ocx xmlns:ax="http://schemas.microsoft.com/office/2006/activeX" xmlns:r="http://schemas.openxmlformats.org/officeDocument/2006/relationships" ax:classid="{D7053240-CE69-11CD-A777-00DD01143C57}" ax:persistence="persistStreamInit" r:id="rId1"/>
</file>

<file path=xl/activeX/activeX25.xml><?xml version="1.0" encoding="utf-8"?>
<ax:ocx xmlns:ax="http://schemas.microsoft.com/office/2006/activeX" xmlns:r="http://schemas.openxmlformats.org/officeDocument/2006/relationships" ax:classid="{D7053240-CE69-11CD-A777-00DD01143C57}" ax:persistence="persistStreamInit" r:id="rId1"/>
</file>

<file path=xl/activeX/activeX26.xml><?xml version="1.0" encoding="utf-8"?>
<ax:ocx xmlns:ax="http://schemas.microsoft.com/office/2006/activeX" xmlns:r="http://schemas.openxmlformats.org/officeDocument/2006/relationships" ax:classid="{D7053240-CE69-11CD-A777-00DD01143C57}"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D7053240-CE69-11CD-A777-00DD01143C57}" ax:persistence="persistStreamInit" r:id="rId1"/>
</file>

<file path=xl/activeX/activeX29.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30.xml><?xml version="1.0" encoding="utf-8"?>
<ax:ocx xmlns:ax="http://schemas.microsoft.com/office/2006/activeX" xmlns:r="http://schemas.openxmlformats.org/officeDocument/2006/relationships" ax:classid="{D7053240-CE69-11CD-A777-00DD01143C57}" ax:persistence="persistStreamInit" r:id="rId1"/>
</file>

<file path=xl/activeX/activeX31.xml><?xml version="1.0" encoding="utf-8"?>
<ax:ocx xmlns:ax="http://schemas.microsoft.com/office/2006/activeX" xmlns:r="http://schemas.openxmlformats.org/officeDocument/2006/relationships" ax:classid="{D7053240-CE69-11CD-A777-00DD01143C57}"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D7053240-CE69-11CD-A777-00DD01143C57}" ax:persistence="persistStreamInit" r:id="rId1"/>
</file>

<file path=xl/activeX/activeX34.xml><?xml version="1.0" encoding="utf-8"?>
<ax:ocx xmlns:ax="http://schemas.microsoft.com/office/2006/activeX" xmlns:r="http://schemas.openxmlformats.org/officeDocument/2006/relationships" ax:classid="{D7053240-CE69-11CD-A777-00DD01143C57}" ax:persistence="persistStreamInit" r:id="rId1"/>
</file>

<file path=xl/activeX/activeX35.xml><?xml version="1.0" encoding="utf-8"?>
<ax:ocx xmlns:ax="http://schemas.microsoft.com/office/2006/activeX" xmlns:r="http://schemas.openxmlformats.org/officeDocument/2006/relationships" ax:classid="{D7053240-CE69-11CD-A777-00DD01143C57}" ax:persistence="persistStreamInit" r:id="rId1"/>
</file>

<file path=xl/activeX/activeX36.xml><?xml version="1.0" encoding="utf-8"?>
<ax:ocx xmlns:ax="http://schemas.microsoft.com/office/2006/activeX" xmlns:r="http://schemas.openxmlformats.org/officeDocument/2006/relationships" ax:classid="{D7053240-CE69-11CD-A777-00DD01143C57}"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D7053240-CE69-11CD-A777-00DD01143C57}" ax:persistence="persistStreamInit" r:id="rId1"/>
</file>

<file path=xl/activeX/activeX39.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activeX/activeX40.xml><?xml version="1.0" encoding="utf-8"?>
<ax:ocx xmlns:ax="http://schemas.microsoft.com/office/2006/activeX" xmlns:r="http://schemas.openxmlformats.org/officeDocument/2006/relationships" ax:classid="{D7053240-CE69-11CD-A777-00DD01143C57}" ax:persistence="persistStreamInit" r:id="rId1"/>
</file>

<file path=xl/activeX/activeX41.xml><?xml version="1.0" encoding="utf-8"?>
<ax:ocx xmlns:ax="http://schemas.microsoft.com/office/2006/activeX" xmlns:r="http://schemas.openxmlformats.org/officeDocument/2006/relationships" ax:classid="{D7053240-CE69-11CD-A777-00DD01143C57}"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D7053240-CE69-11CD-A777-00DD01143C57}" ax:persistence="persistStreamInit" r:id="rId1"/>
</file>

<file path=xl/activeX/activeX44.xml><?xml version="1.0" encoding="utf-8"?>
<ax:ocx xmlns:ax="http://schemas.microsoft.com/office/2006/activeX" xmlns:r="http://schemas.openxmlformats.org/officeDocument/2006/relationships" ax:classid="{D7053240-CE69-11CD-A777-00DD01143C57}" ax:persistence="persistStreamInit" r:id="rId1"/>
</file>

<file path=xl/activeX/activeX45.xml><?xml version="1.0" encoding="utf-8"?>
<ax:ocx xmlns:ax="http://schemas.microsoft.com/office/2006/activeX" xmlns:r="http://schemas.openxmlformats.org/officeDocument/2006/relationships" ax:classid="{D7053240-CE69-11CD-A777-00DD01143C57}" ax:persistence="persistStreamInit" r:id="rId1"/>
</file>

<file path=xl/activeX/activeX46.xml><?xml version="1.0" encoding="utf-8"?>
<ax:ocx xmlns:ax="http://schemas.microsoft.com/office/2006/activeX" xmlns:r="http://schemas.openxmlformats.org/officeDocument/2006/relationships" ax:classid="{D7053240-CE69-11CD-A777-00DD01143C57}"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D7053240-CE69-11CD-A777-00DD01143C57}" ax:persistence="persistStreamInit" r:id="rId1"/>
</file>

<file path=xl/activeX/activeX49.xml><?xml version="1.0" encoding="utf-8"?>
<ax:ocx xmlns:ax="http://schemas.microsoft.com/office/2006/activeX" xmlns:r="http://schemas.openxmlformats.org/officeDocument/2006/relationships" ax:classid="{D7053240-CE69-11CD-A777-00DD01143C57}" ax:persistence="persistStreamInit" r:id="rId1"/>
</file>

<file path=xl/activeX/activeX5.xml><?xml version="1.0" encoding="utf-8"?>
<ax:ocx xmlns:ax="http://schemas.microsoft.com/office/2006/activeX" xmlns:r="http://schemas.openxmlformats.org/officeDocument/2006/relationships" ax:classid="{D7053240-CE69-11CD-A777-00DD01143C57}" ax:persistence="persistStreamInit" r:id="rId1"/>
</file>

<file path=xl/activeX/activeX50.xml><?xml version="1.0" encoding="utf-8"?>
<ax:ocx xmlns:ax="http://schemas.microsoft.com/office/2006/activeX" xmlns:r="http://schemas.openxmlformats.org/officeDocument/2006/relationships" ax:classid="{D7053240-CE69-11CD-A777-00DD01143C57}" ax:persistence="persistStreamInit" r:id="rId1"/>
</file>

<file path=xl/activeX/activeX51.xml><?xml version="1.0" encoding="utf-8"?>
<ax:ocx xmlns:ax="http://schemas.microsoft.com/office/2006/activeX" xmlns:r="http://schemas.openxmlformats.org/officeDocument/2006/relationships" ax:classid="{D7053240-CE69-11CD-A777-00DD01143C57}"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D7053240-CE69-11CD-A777-00DD01143C57}" ax:persistence="persistStreamInit" r:id="rId1"/>
</file>

<file path=xl/activeX/activeX54.xml><?xml version="1.0" encoding="utf-8"?>
<ax:ocx xmlns:ax="http://schemas.microsoft.com/office/2006/activeX" xmlns:r="http://schemas.openxmlformats.org/officeDocument/2006/relationships" ax:classid="{D7053240-CE69-11CD-A777-00DD01143C57}" ax:persistence="persistStreamInit" r:id="rId1"/>
</file>

<file path=xl/activeX/activeX55.xml><?xml version="1.0" encoding="utf-8"?>
<ax:ocx xmlns:ax="http://schemas.microsoft.com/office/2006/activeX" xmlns:r="http://schemas.openxmlformats.org/officeDocument/2006/relationships" ax:classid="{D7053240-CE69-11CD-A777-00DD01143C57}" ax:persistence="persistStreamInit" r:id="rId1"/>
</file>

<file path=xl/activeX/activeX56.xml><?xml version="1.0" encoding="utf-8"?>
<ax:ocx xmlns:ax="http://schemas.microsoft.com/office/2006/activeX" xmlns:r="http://schemas.openxmlformats.org/officeDocument/2006/relationships" ax:classid="{D7053240-CE69-11CD-A777-00DD01143C57}"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D7053240-CE69-11CD-A777-00DD01143C57}" ax:persistence="persistStreamInit" r:id="rId1"/>
</file>

<file path=xl/activeX/activeX59.xml><?xml version="1.0" encoding="utf-8"?>
<ax:ocx xmlns:ax="http://schemas.microsoft.com/office/2006/activeX" xmlns:r="http://schemas.openxmlformats.org/officeDocument/2006/relationships" ax:classid="{D7053240-CE69-11CD-A777-00DD01143C57}" ax:persistence="persistStreamInit" r:id="rId1"/>
</file>

<file path=xl/activeX/activeX6.xml><?xml version="1.0" encoding="utf-8"?>
<ax:ocx xmlns:ax="http://schemas.microsoft.com/office/2006/activeX" xmlns:r="http://schemas.openxmlformats.org/officeDocument/2006/relationships" ax:classid="{D7053240-CE69-11CD-A777-00DD01143C57}" ax:persistence="persistStreamInit" r:id="rId1"/>
</file>

<file path=xl/activeX/activeX60.xml><?xml version="1.0" encoding="utf-8"?>
<ax:ocx xmlns:ax="http://schemas.microsoft.com/office/2006/activeX" xmlns:r="http://schemas.openxmlformats.org/officeDocument/2006/relationships" ax:classid="{D7053240-CE69-11CD-A777-00DD01143C57}" ax:persistence="persistStreamInit" r:id="rId1"/>
</file>

<file path=xl/activeX/activeX61.xml><?xml version="1.0" encoding="utf-8"?>
<ax:ocx xmlns:ax="http://schemas.microsoft.com/office/2006/activeX" xmlns:r="http://schemas.openxmlformats.org/officeDocument/2006/relationships" ax:classid="{D7053240-CE69-11CD-A777-00DD01143C57}" ax:persistence="persistStreamInit" r:id="rId1"/>
</file>

<file path=xl/activeX/activeX62.xml><?xml version="1.0" encoding="utf-8"?>
<ax:ocx xmlns:ax="http://schemas.microsoft.com/office/2006/activeX" xmlns:r="http://schemas.openxmlformats.org/officeDocument/2006/relationships" ax:classid="{D7053240-CE69-11CD-A777-00DD01143C57}" ax:persistence="persistStreamInit" r:id="rId1"/>
</file>

<file path=xl/activeX/activeX63.xml><?xml version="1.0" encoding="utf-8"?>
<ax:ocx xmlns:ax="http://schemas.microsoft.com/office/2006/activeX" xmlns:r="http://schemas.openxmlformats.org/officeDocument/2006/relationships" ax:classid="{D7053240-CE69-11CD-A777-00DD01143C57}" ax:persistence="persistStreamInit" r:id="rId1"/>
</file>

<file path=xl/activeX/activeX64.xml><?xml version="1.0" encoding="utf-8"?>
<ax:ocx xmlns:ax="http://schemas.microsoft.com/office/2006/activeX" xmlns:r="http://schemas.openxmlformats.org/officeDocument/2006/relationships" ax:classid="{D7053240-CE69-11CD-A777-00DD01143C57}" ax:persistence="persistStreamInit" r:id="rId1"/>
</file>

<file path=xl/activeX/activeX65.xml><?xml version="1.0" encoding="utf-8"?>
<ax:ocx xmlns:ax="http://schemas.microsoft.com/office/2006/activeX" xmlns:r="http://schemas.openxmlformats.org/officeDocument/2006/relationships" ax:classid="{D7053240-CE69-11CD-A777-00DD01143C57}" ax:persistence="persistStreamInit" r:id="rId1"/>
</file>

<file path=xl/activeX/activeX66.xml><?xml version="1.0" encoding="utf-8"?>
<ax:ocx xmlns:ax="http://schemas.microsoft.com/office/2006/activeX" xmlns:r="http://schemas.openxmlformats.org/officeDocument/2006/relationships" ax:classid="{D7053240-CE69-11CD-A777-00DD01143C57}" ax:persistence="persistStreamInit" r:id="rId1"/>
</file>

<file path=xl/activeX/activeX67.xml><?xml version="1.0" encoding="utf-8"?>
<ax:ocx xmlns:ax="http://schemas.microsoft.com/office/2006/activeX" xmlns:r="http://schemas.openxmlformats.org/officeDocument/2006/relationships" ax:classid="{D7053240-CE69-11CD-A777-00DD01143C57}" ax:persistence="persistStreamInit" r:id="rId1"/>
</file>

<file path=xl/activeX/activeX68.xml><?xml version="1.0" encoding="utf-8"?>
<ax:ocx xmlns:ax="http://schemas.microsoft.com/office/2006/activeX" xmlns:r="http://schemas.openxmlformats.org/officeDocument/2006/relationships" ax:classid="{D7053240-CE69-11CD-A777-00DD01143C57}" ax:persistence="persistStreamInit" r:id="rId1"/>
</file>

<file path=xl/activeX/activeX69.xml><?xml version="1.0" encoding="utf-8"?>
<ax:ocx xmlns:ax="http://schemas.microsoft.com/office/2006/activeX" xmlns:r="http://schemas.openxmlformats.org/officeDocument/2006/relationships" ax:classid="{D7053240-CE69-11CD-A777-00DD01143C57}" ax:persistence="persistStreamInit" r:id="rId1"/>
</file>

<file path=xl/activeX/activeX7.xml><?xml version="1.0" encoding="utf-8"?>
<ax:ocx xmlns:ax="http://schemas.microsoft.com/office/2006/activeX" xmlns:r="http://schemas.openxmlformats.org/officeDocument/2006/relationships" ax:classid="{D7053240-CE69-11CD-A777-00DD01143C57}" ax:persistence="persistStreamInit" r:id="rId1"/>
</file>

<file path=xl/activeX/activeX70.xml><?xml version="1.0" encoding="utf-8"?>
<ax:ocx xmlns:ax="http://schemas.microsoft.com/office/2006/activeX" xmlns:r="http://schemas.openxmlformats.org/officeDocument/2006/relationships" ax:classid="{D7053240-CE69-11CD-A777-00DD01143C57}" ax:persistence="persistStreamInit" r:id="rId1"/>
</file>

<file path=xl/activeX/activeX71.xml><?xml version="1.0" encoding="utf-8"?>
<ax:ocx xmlns:ax="http://schemas.microsoft.com/office/2006/activeX" xmlns:r="http://schemas.openxmlformats.org/officeDocument/2006/relationships" ax:classid="{D7053240-CE69-11CD-A777-00DD01143C57}" ax:persistence="persistStreamInit" r:id="rId1"/>
</file>

<file path=xl/activeX/activeX72.xml><?xml version="1.0" encoding="utf-8"?>
<ax:ocx xmlns:ax="http://schemas.microsoft.com/office/2006/activeX" xmlns:r="http://schemas.openxmlformats.org/officeDocument/2006/relationships" ax:classid="{D7053240-CE69-11CD-A777-00DD01143C57}" ax:persistence="persistStreamInit" r:id="rId1"/>
</file>

<file path=xl/activeX/activeX73.xml><?xml version="1.0" encoding="utf-8"?>
<ax:ocx xmlns:ax="http://schemas.microsoft.com/office/2006/activeX" xmlns:r="http://schemas.openxmlformats.org/officeDocument/2006/relationships" ax:classid="{D7053240-CE69-11CD-A777-00DD01143C57}" ax:persistence="persistStreamInit" r:id="rId1"/>
</file>

<file path=xl/activeX/activeX74.xml><?xml version="1.0" encoding="utf-8"?>
<ax:ocx xmlns:ax="http://schemas.microsoft.com/office/2006/activeX" xmlns:r="http://schemas.openxmlformats.org/officeDocument/2006/relationships" ax:classid="{D7053240-CE69-11CD-A777-00DD01143C57}" ax:persistence="persistStreamInit" r:id="rId1"/>
</file>

<file path=xl/activeX/activeX75.xml><?xml version="1.0" encoding="utf-8"?>
<ax:ocx xmlns:ax="http://schemas.microsoft.com/office/2006/activeX" xmlns:r="http://schemas.openxmlformats.org/officeDocument/2006/relationships" ax:classid="{D7053240-CE69-11CD-A777-00DD01143C57}" ax:persistence="persistStreamInit" r:id="rId1"/>
</file>

<file path=xl/activeX/activeX76.xml><?xml version="1.0" encoding="utf-8"?>
<ax:ocx xmlns:ax="http://schemas.microsoft.com/office/2006/activeX" xmlns:r="http://schemas.openxmlformats.org/officeDocument/2006/relationships" ax:classid="{D7053240-CE69-11CD-A777-00DD01143C57}" ax:persistence="persistStreamInit" r:id="rId1"/>
</file>

<file path=xl/activeX/activeX77.xml><?xml version="1.0" encoding="utf-8"?>
<ax:ocx xmlns:ax="http://schemas.microsoft.com/office/2006/activeX" xmlns:r="http://schemas.openxmlformats.org/officeDocument/2006/relationships" ax:classid="{D7053240-CE69-11CD-A777-00DD01143C57}" ax:persistence="persistStreamInit" r:id="rId1"/>
</file>

<file path=xl/activeX/activeX78.xml><?xml version="1.0" encoding="utf-8"?>
<ax:ocx xmlns:ax="http://schemas.microsoft.com/office/2006/activeX" xmlns:r="http://schemas.openxmlformats.org/officeDocument/2006/relationships" ax:classid="{D7053240-CE69-11CD-A777-00DD01143C57}" ax:persistence="persistStreamInit" r:id="rId1"/>
</file>

<file path=xl/activeX/activeX79.xml><?xml version="1.0" encoding="utf-8"?>
<ax:ocx xmlns:ax="http://schemas.microsoft.com/office/2006/activeX" xmlns:r="http://schemas.openxmlformats.org/officeDocument/2006/relationships" ax:classid="{D7053240-CE69-11CD-A777-00DD01143C57}" ax:persistence="persistStreamInit" r:id="rId1"/>
</file>

<file path=xl/activeX/activeX8.xml><?xml version="1.0" encoding="utf-8"?>
<ax:ocx xmlns:ax="http://schemas.microsoft.com/office/2006/activeX" xmlns:r="http://schemas.openxmlformats.org/officeDocument/2006/relationships" ax:classid="{D7053240-CE69-11CD-A777-00DD01143C57}" ax:persistence="persistStreamInit" r:id="rId1"/>
</file>

<file path=xl/activeX/activeX80.xml><?xml version="1.0" encoding="utf-8"?>
<ax:ocx xmlns:ax="http://schemas.microsoft.com/office/2006/activeX" xmlns:r="http://schemas.openxmlformats.org/officeDocument/2006/relationships" ax:classid="{D7053240-CE69-11CD-A777-00DD01143C57}" ax:persistence="persistStreamInit" r:id="rId1"/>
</file>

<file path=xl/activeX/activeX81.xml><?xml version="1.0" encoding="utf-8"?>
<ax:ocx xmlns:ax="http://schemas.microsoft.com/office/2006/activeX" xmlns:r="http://schemas.openxmlformats.org/officeDocument/2006/relationships" ax:classid="{D7053240-CE69-11CD-A777-00DD01143C57}" ax:persistence="persistStreamInit" r:id="rId1"/>
</file>

<file path=xl/activeX/activeX82.xml><?xml version="1.0" encoding="utf-8"?>
<ax:ocx xmlns:ax="http://schemas.microsoft.com/office/2006/activeX" xmlns:r="http://schemas.openxmlformats.org/officeDocument/2006/relationships" ax:classid="{D7053240-CE69-11CD-A777-00DD01143C57}" ax:persistence="persistStreamInit" r:id="rId1"/>
</file>

<file path=xl/activeX/activeX83.xml><?xml version="1.0" encoding="utf-8"?>
<ax:ocx xmlns:ax="http://schemas.microsoft.com/office/2006/activeX" xmlns:r="http://schemas.openxmlformats.org/officeDocument/2006/relationships" ax:classid="{D7053240-CE69-11CD-A777-00DD01143C57}" ax:persistence="persistStreamInit" r:id="rId1"/>
</file>

<file path=xl/activeX/activeX84.xml><?xml version="1.0" encoding="utf-8"?>
<ax:ocx xmlns:ax="http://schemas.microsoft.com/office/2006/activeX" xmlns:r="http://schemas.openxmlformats.org/officeDocument/2006/relationships" ax:classid="{D7053240-CE69-11CD-A777-00DD01143C57}" ax:persistence="persistStreamInit" r:id="rId1"/>
</file>

<file path=xl/activeX/activeX85.xml><?xml version="1.0" encoding="utf-8"?>
<ax:ocx xmlns:ax="http://schemas.microsoft.com/office/2006/activeX" xmlns:r="http://schemas.openxmlformats.org/officeDocument/2006/relationships" ax:classid="{D7053240-CE69-11CD-A777-00DD01143C57}" ax:persistence="persistStreamInit" r:id="rId1"/>
</file>

<file path=xl/activeX/activeX86.xml><?xml version="1.0" encoding="utf-8"?>
<ax:ocx xmlns:ax="http://schemas.microsoft.com/office/2006/activeX" xmlns:r="http://schemas.openxmlformats.org/officeDocument/2006/relationships" ax:classid="{D7053240-CE69-11CD-A777-00DD01143C57}" ax:persistence="persistStreamInit" r:id="rId1"/>
</file>

<file path=xl/activeX/activeX87.xml><?xml version="1.0" encoding="utf-8"?>
<ax:ocx xmlns:ax="http://schemas.microsoft.com/office/2006/activeX" xmlns:r="http://schemas.openxmlformats.org/officeDocument/2006/relationships" ax:classid="{D7053240-CE69-11CD-A777-00DD01143C57}" ax:persistence="persistStreamInit" r:id="rId1"/>
</file>

<file path=xl/activeX/activeX88.xml><?xml version="1.0" encoding="utf-8"?>
<ax:ocx xmlns:ax="http://schemas.microsoft.com/office/2006/activeX" xmlns:r="http://schemas.openxmlformats.org/officeDocument/2006/relationships" ax:classid="{D7053240-CE69-11CD-A777-00DD01143C57}" ax:persistence="persistStreamInit" r:id="rId1"/>
</file>

<file path=xl/activeX/activeX89.xml><?xml version="1.0" encoding="utf-8"?>
<ax:ocx xmlns:ax="http://schemas.microsoft.com/office/2006/activeX" xmlns:r="http://schemas.openxmlformats.org/officeDocument/2006/relationships" ax:classid="{D7053240-CE69-11CD-A777-00DD01143C57}" ax:persistence="persistStreamInit" r:id="rId1"/>
</file>

<file path=xl/activeX/activeX9.xml><?xml version="1.0" encoding="utf-8"?>
<ax:ocx xmlns:ax="http://schemas.microsoft.com/office/2006/activeX" xmlns:r="http://schemas.openxmlformats.org/officeDocument/2006/relationships" ax:classid="{D7053240-CE69-11CD-A777-00DD01143C57}" ax:persistence="persistStreamInit" r:id="rId1"/>
</file>

<file path=xl/activeX/activeX90.xml><?xml version="1.0" encoding="utf-8"?>
<ax:ocx xmlns:ax="http://schemas.microsoft.com/office/2006/activeX" xmlns:r="http://schemas.openxmlformats.org/officeDocument/2006/relationships" ax:classid="{D7053240-CE69-11CD-A777-00DD01143C57}" ax:persistence="persistStreamInit" r:id="rId1"/>
</file>

<file path=xl/activeX/activeX91.xml><?xml version="1.0" encoding="utf-8"?>
<ax:ocx xmlns:ax="http://schemas.microsoft.com/office/2006/activeX" xmlns:r="http://schemas.openxmlformats.org/officeDocument/2006/relationships" ax:classid="{D7053240-CE69-11CD-A777-00DD01143C57}" ax:persistence="persistStreamInit" r:id="rId1"/>
</file>

<file path=xl/activeX/activeX92.xml><?xml version="1.0" encoding="utf-8"?>
<ax:ocx xmlns:ax="http://schemas.microsoft.com/office/2006/activeX" xmlns:r="http://schemas.openxmlformats.org/officeDocument/2006/relationships" ax:classid="{D7053240-CE69-11CD-A777-00DD01143C57}" ax:persistence="persistStreamInit" r:id="rId1"/>
</file>

<file path=xl/activeX/activeX93.xml><?xml version="1.0" encoding="utf-8"?>
<ax:ocx xmlns:ax="http://schemas.microsoft.com/office/2006/activeX" xmlns:r="http://schemas.openxmlformats.org/officeDocument/2006/relationships" ax:classid="{D7053240-CE69-11CD-A777-00DD01143C57}" ax:persistence="persistStreamInit" r:id="rId1"/>
</file>

<file path=xl/activeX/activeX94.xml><?xml version="1.0" encoding="utf-8"?>
<ax:ocx xmlns:ax="http://schemas.microsoft.com/office/2006/activeX" xmlns:r="http://schemas.openxmlformats.org/officeDocument/2006/relationships" ax:classid="{D7053240-CE69-11CD-A777-00DD01143C57}" ax:persistence="persistStreamInit" r:id="rId1"/>
</file>

<file path=xl/activeX/activeX95.xml><?xml version="1.0" encoding="utf-8"?>
<ax:ocx xmlns:ax="http://schemas.microsoft.com/office/2006/activeX" xmlns:r="http://schemas.openxmlformats.org/officeDocument/2006/relationships" ax:classid="{D7053240-CE69-11CD-A777-00DD01143C57}" ax:persistence="persistStreamInit" r:id="rId1"/>
</file>

<file path=xl/activeX/activeX96.xml><?xml version="1.0" encoding="utf-8"?>
<ax:ocx xmlns:ax="http://schemas.microsoft.com/office/2006/activeX" xmlns:r="http://schemas.openxmlformats.org/officeDocument/2006/relationships" ax:classid="{D7053240-CE69-11CD-A777-00DD01143C57}" ax:persistence="persistStreamInit" r:id="rId1"/>
</file>

<file path=xl/activeX/activeX97.xml><?xml version="1.0" encoding="utf-8"?>
<ax:ocx xmlns:ax="http://schemas.microsoft.com/office/2006/activeX" xmlns:r="http://schemas.openxmlformats.org/officeDocument/2006/relationships" ax:classid="{D7053240-CE69-11CD-A777-00DD01143C57}" ax:persistence="persistStreamInit" r:id="rId1"/>
</file>

<file path=xl/activeX/activeX98.xml><?xml version="1.0" encoding="utf-8"?>
<ax:ocx xmlns:ax="http://schemas.microsoft.com/office/2006/activeX" xmlns:r="http://schemas.openxmlformats.org/officeDocument/2006/relationships" ax:classid="{D7053240-CE69-11CD-A777-00DD01143C57}" ax:persistence="persistStreamInit" r:id="rId1"/>
</file>

<file path=xl/activeX/activeX99.xml><?xml version="1.0" encoding="utf-8"?>
<ax:ocx xmlns:ax="http://schemas.microsoft.com/office/2006/activeX" xmlns:r="http://schemas.openxmlformats.org/officeDocument/2006/relationships" ax:classid="{D7053240-CE69-11CD-A777-00DD01143C57}" ax:persistence="persistStreamInit" r:id="rId1"/>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52.jpg"/><Relationship Id="rId1" Type="http://schemas.openxmlformats.org/officeDocument/2006/relationships/image" Target="../media/image30.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6.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3.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8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5.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89.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0.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0.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3" Type="http://schemas.openxmlformats.org/officeDocument/2006/relationships/image" Target="../media/image49.emf"/><Relationship Id="rId2" Type="http://schemas.openxmlformats.org/officeDocument/2006/relationships/image" Target="../media/image48.emf"/><Relationship Id="rId1" Type="http://schemas.openxmlformats.org/officeDocument/2006/relationships/image" Target="../media/image47.emf"/><Relationship Id="rId5" Type="http://schemas.openxmlformats.org/officeDocument/2006/relationships/image" Target="../media/image51.emf"/><Relationship Id="rId4" Type="http://schemas.openxmlformats.org/officeDocument/2006/relationships/image" Target="../media/image50.emf"/></Relationships>
</file>

<file path=xl/drawings/_rels/vmlDrawing11.vml.rels><?xml version="1.0" encoding="UTF-8" standalone="yes"?>
<Relationships xmlns="http://schemas.openxmlformats.org/package/2006/relationships"><Relationship Id="rId3" Type="http://schemas.openxmlformats.org/officeDocument/2006/relationships/image" Target="../media/image55.emf"/><Relationship Id="rId2" Type="http://schemas.openxmlformats.org/officeDocument/2006/relationships/image" Target="../media/image54.emf"/><Relationship Id="rId1" Type="http://schemas.openxmlformats.org/officeDocument/2006/relationships/image" Target="../media/image53.emf"/><Relationship Id="rId6" Type="http://schemas.openxmlformats.org/officeDocument/2006/relationships/image" Target="../media/image58.emf"/><Relationship Id="rId5" Type="http://schemas.openxmlformats.org/officeDocument/2006/relationships/image" Target="../media/image57.emf"/><Relationship Id="rId4" Type="http://schemas.openxmlformats.org/officeDocument/2006/relationships/image" Target="../media/image56.emf"/></Relationships>
</file>

<file path=xl/drawings/_rels/vmlDrawing12.vml.rels><?xml version="1.0" encoding="UTF-8" standalone="yes"?>
<Relationships xmlns="http://schemas.openxmlformats.org/package/2006/relationships"><Relationship Id="rId3" Type="http://schemas.openxmlformats.org/officeDocument/2006/relationships/image" Target="../media/image61.emf"/><Relationship Id="rId2" Type="http://schemas.openxmlformats.org/officeDocument/2006/relationships/image" Target="../media/image60.emf"/><Relationship Id="rId1" Type="http://schemas.openxmlformats.org/officeDocument/2006/relationships/image" Target="../media/image59.emf"/></Relationships>
</file>

<file path=xl/drawings/_rels/vmlDrawing13.vml.rels><?xml version="1.0" encoding="UTF-8" standalone="yes"?>
<Relationships xmlns="http://schemas.openxmlformats.org/package/2006/relationships"><Relationship Id="rId3" Type="http://schemas.openxmlformats.org/officeDocument/2006/relationships/image" Target="../media/image64.emf"/><Relationship Id="rId2" Type="http://schemas.openxmlformats.org/officeDocument/2006/relationships/image" Target="../media/image63.emf"/><Relationship Id="rId1" Type="http://schemas.openxmlformats.org/officeDocument/2006/relationships/image" Target="../media/image62.emf"/></Relationships>
</file>

<file path=xl/drawings/_rels/vmlDrawing14.vml.rels><?xml version="1.0" encoding="UTF-8" standalone="yes"?>
<Relationships xmlns="http://schemas.openxmlformats.org/package/2006/relationships"><Relationship Id="rId3" Type="http://schemas.openxmlformats.org/officeDocument/2006/relationships/image" Target="../media/image67.emf"/><Relationship Id="rId2" Type="http://schemas.openxmlformats.org/officeDocument/2006/relationships/image" Target="../media/image66.emf"/><Relationship Id="rId1" Type="http://schemas.openxmlformats.org/officeDocument/2006/relationships/image" Target="../media/image65.emf"/></Relationships>
</file>

<file path=xl/drawings/_rels/vmlDrawing15.vml.rels><?xml version="1.0" encoding="UTF-8" standalone="yes"?>
<Relationships xmlns="http://schemas.openxmlformats.org/package/2006/relationships"><Relationship Id="rId3" Type="http://schemas.openxmlformats.org/officeDocument/2006/relationships/image" Target="../media/image68.emf"/><Relationship Id="rId2" Type="http://schemas.openxmlformats.org/officeDocument/2006/relationships/image" Target="../media/image69.emf"/><Relationship Id="rId1" Type="http://schemas.openxmlformats.org/officeDocument/2006/relationships/image" Target="../media/image70.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73.emf"/><Relationship Id="rId2" Type="http://schemas.openxmlformats.org/officeDocument/2006/relationships/image" Target="../media/image72.emf"/><Relationship Id="rId1" Type="http://schemas.openxmlformats.org/officeDocument/2006/relationships/image" Target="../media/image71.emf"/></Relationships>
</file>

<file path=xl/drawings/_rels/vmlDrawing17.vml.rels><?xml version="1.0" encoding="UTF-8" standalone="yes"?>
<Relationships xmlns="http://schemas.openxmlformats.org/package/2006/relationships"><Relationship Id="rId2" Type="http://schemas.openxmlformats.org/officeDocument/2006/relationships/image" Target="../media/image75.emf"/><Relationship Id="rId1" Type="http://schemas.openxmlformats.org/officeDocument/2006/relationships/image" Target="../media/image74.emf"/></Relationships>
</file>

<file path=xl/drawings/_rels/vmlDrawing18.vml.rels><?xml version="1.0" encoding="UTF-8" standalone="yes"?>
<Relationships xmlns="http://schemas.openxmlformats.org/package/2006/relationships"><Relationship Id="rId3" Type="http://schemas.openxmlformats.org/officeDocument/2006/relationships/image" Target="../media/image79.emf"/><Relationship Id="rId2" Type="http://schemas.openxmlformats.org/officeDocument/2006/relationships/image" Target="../media/image78.emf"/><Relationship Id="rId1" Type="http://schemas.openxmlformats.org/officeDocument/2006/relationships/image" Target="../media/image77.emf"/><Relationship Id="rId4" Type="http://schemas.openxmlformats.org/officeDocument/2006/relationships/image" Target="../media/image80.emf"/></Relationships>
</file>

<file path=xl/drawings/_rels/vmlDrawing19.vml.rels><?xml version="1.0" encoding="UTF-8" standalone="yes"?>
<Relationships xmlns="http://schemas.openxmlformats.org/package/2006/relationships"><Relationship Id="rId2" Type="http://schemas.openxmlformats.org/officeDocument/2006/relationships/image" Target="../media/image82.emf"/><Relationship Id="rId1" Type="http://schemas.openxmlformats.org/officeDocument/2006/relationships/image" Target="../media/image81.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12.emf"/><Relationship Id="rId13" Type="http://schemas.openxmlformats.org/officeDocument/2006/relationships/image" Target="../media/image17.emf"/><Relationship Id="rId18" Type="http://schemas.openxmlformats.org/officeDocument/2006/relationships/image" Target="../media/image22.emf"/><Relationship Id="rId3" Type="http://schemas.openxmlformats.org/officeDocument/2006/relationships/image" Target="../media/image7.emf"/><Relationship Id="rId7" Type="http://schemas.openxmlformats.org/officeDocument/2006/relationships/image" Target="../media/image11.emf"/><Relationship Id="rId12" Type="http://schemas.openxmlformats.org/officeDocument/2006/relationships/image" Target="../media/image16.emf"/><Relationship Id="rId17" Type="http://schemas.openxmlformats.org/officeDocument/2006/relationships/image" Target="../media/image21.emf"/><Relationship Id="rId2" Type="http://schemas.openxmlformats.org/officeDocument/2006/relationships/image" Target="../media/image6.emf"/><Relationship Id="rId16" Type="http://schemas.openxmlformats.org/officeDocument/2006/relationships/image" Target="../media/image20.emf"/><Relationship Id="rId1" Type="http://schemas.openxmlformats.org/officeDocument/2006/relationships/image" Target="../media/image5.emf"/><Relationship Id="rId6" Type="http://schemas.openxmlformats.org/officeDocument/2006/relationships/image" Target="../media/image10.emf"/><Relationship Id="rId11" Type="http://schemas.openxmlformats.org/officeDocument/2006/relationships/image" Target="../media/image15.emf"/><Relationship Id="rId5" Type="http://schemas.openxmlformats.org/officeDocument/2006/relationships/image" Target="../media/image9.emf"/><Relationship Id="rId15" Type="http://schemas.openxmlformats.org/officeDocument/2006/relationships/image" Target="../media/image19.emf"/><Relationship Id="rId10" Type="http://schemas.openxmlformats.org/officeDocument/2006/relationships/image" Target="../media/image14.emf"/><Relationship Id="rId4" Type="http://schemas.openxmlformats.org/officeDocument/2006/relationships/image" Target="../media/image8.emf"/><Relationship Id="rId9" Type="http://schemas.openxmlformats.org/officeDocument/2006/relationships/image" Target="../media/image13.emf"/><Relationship Id="rId14" Type="http://schemas.openxmlformats.org/officeDocument/2006/relationships/image" Target="../media/image18.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84.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88.emf"/><Relationship Id="rId2" Type="http://schemas.openxmlformats.org/officeDocument/2006/relationships/image" Target="../media/image87.emf"/><Relationship Id="rId1" Type="http://schemas.openxmlformats.org/officeDocument/2006/relationships/image" Target="../media/image86.emf"/></Relationships>
</file>

<file path=xl/drawings/_rels/vmlDrawing22.vml.rels><?xml version="1.0" encoding="UTF-8" standalone="yes"?>
<Relationships xmlns="http://schemas.openxmlformats.org/package/2006/relationships"><Relationship Id="rId2" Type="http://schemas.openxmlformats.org/officeDocument/2006/relationships/image" Target="../media/image91.emf"/><Relationship Id="rId1" Type="http://schemas.openxmlformats.org/officeDocument/2006/relationships/image" Target="../media/image90.emf"/></Relationships>
</file>

<file path=xl/drawings/_rels/vmlDrawing23.vml.rels><?xml version="1.0" encoding="UTF-8" standalone="yes"?>
<Relationships xmlns="http://schemas.openxmlformats.org/package/2006/relationships"><Relationship Id="rId2" Type="http://schemas.openxmlformats.org/officeDocument/2006/relationships/image" Target="../media/image93.emf"/><Relationship Id="rId1" Type="http://schemas.openxmlformats.org/officeDocument/2006/relationships/image" Target="../media/image92.emf"/></Relationships>
</file>

<file path=xl/drawings/_rels/vmlDrawing24.vml.rels><?xml version="1.0" encoding="UTF-8" standalone="yes"?>
<Relationships xmlns="http://schemas.openxmlformats.org/package/2006/relationships"><Relationship Id="rId2" Type="http://schemas.openxmlformats.org/officeDocument/2006/relationships/image" Target="../media/image95.emf"/><Relationship Id="rId1" Type="http://schemas.openxmlformats.org/officeDocument/2006/relationships/image" Target="../media/image94.emf"/></Relationships>
</file>

<file path=xl/drawings/_rels/vmlDrawing25.vml.rels><?xml version="1.0" encoding="UTF-8" standalone="yes"?>
<Relationships xmlns="http://schemas.openxmlformats.org/package/2006/relationships"><Relationship Id="rId2" Type="http://schemas.openxmlformats.org/officeDocument/2006/relationships/image" Target="../media/image97.emf"/><Relationship Id="rId1" Type="http://schemas.openxmlformats.org/officeDocument/2006/relationships/image" Target="../media/image96.emf"/></Relationships>
</file>

<file path=xl/drawings/_rels/vmlDrawing26.vml.rels><?xml version="1.0" encoding="UTF-8" standalone="yes"?>
<Relationships xmlns="http://schemas.openxmlformats.org/package/2006/relationships"><Relationship Id="rId2" Type="http://schemas.openxmlformats.org/officeDocument/2006/relationships/image" Target="../media/image99.emf"/><Relationship Id="rId1" Type="http://schemas.openxmlformats.org/officeDocument/2006/relationships/image" Target="../media/image98.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02.emf"/><Relationship Id="rId2" Type="http://schemas.openxmlformats.org/officeDocument/2006/relationships/image" Target="../media/image101.emf"/><Relationship Id="rId1" Type="http://schemas.openxmlformats.org/officeDocument/2006/relationships/image" Target="../media/image100.emf"/><Relationship Id="rId4" Type="http://schemas.openxmlformats.org/officeDocument/2006/relationships/image" Target="../media/image103.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06.emf"/><Relationship Id="rId2" Type="http://schemas.openxmlformats.org/officeDocument/2006/relationships/image" Target="../media/image105.emf"/><Relationship Id="rId1" Type="http://schemas.openxmlformats.org/officeDocument/2006/relationships/image" Target="../media/image104.emf"/><Relationship Id="rId5" Type="http://schemas.openxmlformats.org/officeDocument/2006/relationships/image" Target="../media/image108.emf"/><Relationship Id="rId4" Type="http://schemas.openxmlformats.org/officeDocument/2006/relationships/image" Target="../media/image107.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11.emf"/><Relationship Id="rId2" Type="http://schemas.openxmlformats.org/officeDocument/2006/relationships/image" Target="../media/image110.emf"/><Relationship Id="rId1" Type="http://schemas.openxmlformats.org/officeDocument/2006/relationships/image" Target="../media/image109.emf"/><Relationship Id="rId4" Type="http://schemas.openxmlformats.org/officeDocument/2006/relationships/image" Target="../media/image1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4.emf"/></Relationships>
</file>

<file path=xl/drawings/_rels/vmlDrawing30.vml.rels><?xml version="1.0" encoding="UTF-8" standalone="yes"?>
<Relationships xmlns="http://schemas.openxmlformats.org/package/2006/relationships"><Relationship Id="rId2" Type="http://schemas.openxmlformats.org/officeDocument/2006/relationships/image" Target="../media/image114.emf"/><Relationship Id="rId1" Type="http://schemas.openxmlformats.org/officeDocument/2006/relationships/image" Target="../media/image113.emf"/></Relationships>
</file>

<file path=xl/drawings/_rels/vmlDrawing31.vml.rels><?xml version="1.0" encoding="UTF-8" standalone="yes"?>
<Relationships xmlns="http://schemas.openxmlformats.org/package/2006/relationships"><Relationship Id="rId2" Type="http://schemas.openxmlformats.org/officeDocument/2006/relationships/image" Target="../media/image116.emf"/><Relationship Id="rId1" Type="http://schemas.openxmlformats.org/officeDocument/2006/relationships/image" Target="../media/image115.emf"/></Relationships>
</file>

<file path=xl/drawings/_rels/vmlDrawing32.vml.rels><?xml version="1.0" encoding="UTF-8" standalone="yes"?>
<Relationships xmlns="http://schemas.openxmlformats.org/package/2006/relationships"><Relationship Id="rId2" Type="http://schemas.openxmlformats.org/officeDocument/2006/relationships/image" Target="../media/image118.emf"/><Relationship Id="rId1" Type="http://schemas.openxmlformats.org/officeDocument/2006/relationships/image" Target="../media/image117.emf"/></Relationships>
</file>

<file path=xl/drawings/_rels/vmlDrawing33.vml.rels><?xml version="1.0" encoding="UTF-8" standalone="yes"?>
<Relationships xmlns="http://schemas.openxmlformats.org/package/2006/relationships"><Relationship Id="rId3" Type="http://schemas.openxmlformats.org/officeDocument/2006/relationships/image" Target="../media/image121.emf"/><Relationship Id="rId2" Type="http://schemas.openxmlformats.org/officeDocument/2006/relationships/image" Target="../media/image119.emf"/><Relationship Id="rId1" Type="http://schemas.openxmlformats.org/officeDocument/2006/relationships/image" Target="../media/image120.emf"/></Relationships>
</file>

<file path=xl/drawings/_rels/vmlDrawing34.vml.rels><?xml version="1.0" encoding="UTF-8" standalone="yes"?>
<Relationships xmlns="http://schemas.openxmlformats.org/package/2006/relationships"><Relationship Id="rId2" Type="http://schemas.openxmlformats.org/officeDocument/2006/relationships/image" Target="../media/image123.emf"/><Relationship Id="rId1" Type="http://schemas.openxmlformats.org/officeDocument/2006/relationships/image" Target="../media/image122.emf"/></Relationships>
</file>

<file path=xl/drawings/_rels/vmlDrawing4.vml.rels><?xml version="1.0" encoding="UTF-8" standalone="yes"?>
<Relationships xmlns="http://schemas.openxmlformats.org/package/2006/relationships"><Relationship Id="rId3" Type="http://schemas.openxmlformats.org/officeDocument/2006/relationships/image" Target="../media/image28.emf"/><Relationship Id="rId2" Type="http://schemas.openxmlformats.org/officeDocument/2006/relationships/image" Target="../media/image27.emf"/><Relationship Id="rId1" Type="http://schemas.openxmlformats.org/officeDocument/2006/relationships/image" Target="../media/image26.emf"/><Relationship Id="rId4" Type="http://schemas.openxmlformats.org/officeDocument/2006/relationships/image" Target="../media/image29.emf"/></Relationships>
</file>

<file path=xl/drawings/_rels/vmlDrawing5.vml.rels><?xml version="1.0" encoding="UTF-8" standalone="yes"?>
<Relationships xmlns="http://schemas.openxmlformats.org/package/2006/relationships"><Relationship Id="rId3" Type="http://schemas.openxmlformats.org/officeDocument/2006/relationships/image" Target="../media/image33.emf"/><Relationship Id="rId2" Type="http://schemas.openxmlformats.org/officeDocument/2006/relationships/image" Target="../media/image32.emf"/><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36.emf"/><Relationship Id="rId2" Type="http://schemas.openxmlformats.org/officeDocument/2006/relationships/image" Target="../media/image35.emf"/><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3" Type="http://schemas.openxmlformats.org/officeDocument/2006/relationships/image" Target="../media/image39.emf"/><Relationship Id="rId2" Type="http://schemas.openxmlformats.org/officeDocument/2006/relationships/image" Target="../media/image38.emf"/><Relationship Id="rId1" Type="http://schemas.openxmlformats.org/officeDocument/2006/relationships/image" Target="../media/image37.emf"/></Relationships>
</file>

<file path=xl/drawings/_rels/vmlDrawing8.vml.rels><?xml version="1.0" encoding="UTF-8" standalone="yes"?>
<Relationships xmlns="http://schemas.openxmlformats.org/package/2006/relationships"><Relationship Id="rId3" Type="http://schemas.openxmlformats.org/officeDocument/2006/relationships/image" Target="../media/image43.emf"/><Relationship Id="rId2" Type="http://schemas.openxmlformats.org/officeDocument/2006/relationships/image" Target="../media/image42.emf"/><Relationship Id="rId1" Type="http://schemas.openxmlformats.org/officeDocument/2006/relationships/image" Target="../media/image41.emf"/></Relationships>
</file>

<file path=xl/drawings/_rels/vmlDrawing9.vml.rels><?xml version="1.0" encoding="UTF-8" standalone="yes"?>
<Relationships xmlns="http://schemas.openxmlformats.org/package/2006/relationships"><Relationship Id="rId3" Type="http://schemas.openxmlformats.org/officeDocument/2006/relationships/image" Target="../media/image46.emf"/><Relationship Id="rId2" Type="http://schemas.openxmlformats.org/officeDocument/2006/relationships/image" Target="../media/image45.emf"/><Relationship Id="rId1"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342900</xdr:colOff>
          <xdr:row>24</xdr:row>
          <xdr:rowOff>28575</xdr:rowOff>
        </xdr:from>
        <xdr:to>
          <xdr:col>3</xdr:col>
          <xdr:colOff>1733550</xdr:colOff>
          <xdr:row>26</xdr:row>
          <xdr:rowOff>9525</xdr:rowOff>
        </xdr:to>
        <xdr:sp macro="" textlink="">
          <xdr:nvSpPr>
            <xdr:cNvPr id="26642" name="CommandButton1" hidden="1">
              <a:extLst>
                <a:ext uri="{63B3BB69-23CF-44E3-9099-C40C66FF867C}">
                  <a14:compatExt spid="_x0000_s26642"/>
                </a:ext>
                <a:ext uri="{FF2B5EF4-FFF2-40B4-BE49-F238E27FC236}">
                  <a16:creationId xmlns:a16="http://schemas.microsoft.com/office/drawing/2014/main" id="{00000000-0008-0000-0000-000012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26</xdr:row>
          <xdr:rowOff>19050</xdr:rowOff>
        </xdr:from>
        <xdr:to>
          <xdr:col>3</xdr:col>
          <xdr:colOff>1733550</xdr:colOff>
          <xdr:row>28</xdr:row>
          <xdr:rowOff>38100</xdr:rowOff>
        </xdr:to>
        <xdr:sp macro="" textlink="">
          <xdr:nvSpPr>
            <xdr:cNvPr id="26643" name="CommandButton2" hidden="1">
              <a:extLst>
                <a:ext uri="{63B3BB69-23CF-44E3-9099-C40C66FF867C}">
                  <a14:compatExt spid="_x0000_s26643"/>
                </a:ext>
                <a:ext uri="{FF2B5EF4-FFF2-40B4-BE49-F238E27FC236}">
                  <a16:creationId xmlns:a16="http://schemas.microsoft.com/office/drawing/2014/main" id="{00000000-0008-0000-0000-000013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342900</xdr:colOff>
          <xdr:row>28</xdr:row>
          <xdr:rowOff>38100</xdr:rowOff>
        </xdr:from>
        <xdr:to>
          <xdr:col>3</xdr:col>
          <xdr:colOff>1733550</xdr:colOff>
          <xdr:row>30</xdr:row>
          <xdr:rowOff>57150</xdr:rowOff>
        </xdr:to>
        <xdr:sp macro="" textlink="">
          <xdr:nvSpPr>
            <xdr:cNvPr id="26644" name="CommandButton3" hidden="1">
              <a:extLst>
                <a:ext uri="{63B3BB69-23CF-44E3-9099-C40C66FF867C}">
                  <a14:compatExt spid="_x0000_s26644"/>
                </a:ext>
                <a:ext uri="{FF2B5EF4-FFF2-40B4-BE49-F238E27FC236}">
                  <a16:creationId xmlns:a16="http://schemas.microsoft.com/office/drawing/2014/main" id="{00000000-0008-0000-0000-0000146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257175</xdr:colOff>
          <xdr:row>23</xdr:row>
          <xdr:rowOff>114300</xdr:rowOff>
        </xdr:from>
        <xdr:to>
          <xdr:col>8</xdr:col>
          <xdr:colOff>428625</xdr:colOff>
          <xdr:row>25</xdr:row>
          <xdr:rowOff>38100</xdr:rowOff>
        </xdr:to>
        <xdr:sp macro="" textlink="">
          <xdr:nvSpPr>
            <xdr:cNvPr id="26773" name="Button 149" hidden="1">
              <a:extLst>
                <a:ext uri="{63B3BB69-23CF-44E3-9099-C40C66FF867C}">
                  <a14:compatExt spid="_x0000_s26773"/>
                </a:ext>
                <a:ext uri="{FF2B5EF4-FFF2-40B4-BE49-F238E27FC236}">
                  <a16:creationId xmlns:a16="http://schemas.microsoft.com/office/drawing/2014/main" id="{00000000-0008-0000-0000-000095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12</xdr:row>
          <xdr:rowOff>57150</xdr:rowOff>
        </xdr:from>
        <xdr:to>
          <xdr:col>6</xdr:col>
          <xdr:colOff>114300</xdr:colOff>
          <xdr:row>14</xdr:row>
          <xdr:rowOff>19050</xdr:rowOff>
        </xdr:to>
        <xdr:sp macro="" textlink="">
          <xdr:nvSpPr>
            <xdr:cNvPr id="26794" name="Button 170" hidden="1">
              <a:extLst>
                <a:ext uri="{63B3BB69-23CF-44E3-9099-C40C66FF867C}">
                  <a14:compatExt spid="_x0000_s26794"/>
                </a:ext>
                <a:ext uri="{FF2B5EF4-FFF2-40B4-BE49-F238E27FC236}">
                  <a16:creationId xmlns:a16="http://schemas.microsoft.com/office/drawing/2014/main" id="{00000000-0008-0000-0000-0000AA68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twoCellAnchor editAs="oneCell">
    <xdr:from>
      <xdr:col>0</xdr:col>
      <xdr:colOff>0</xdr:colOff>
      <xdr:row>0</xdr:row>
      <xdr:rowOff>0</xdr:rowOff>
    </xdr:from>
    <xdr:to>
      <xdr:col>10</xdr:col>
      <xdr:colOff>514350</xdr:colOff>
      <xdr:row>1</xdr:row>
      <xdr:rowOff>666750</xdr:rowOff>
    </xdr:to>
    <xdr:pic>
      <xdr:nvPicPr>
        <xdr:cNvPr id="27616" name="Picture 1">
          <a:extLst>
            <a:ext uri="{FF2B5EF4-FFF2-40B4-BE49-F238E27FC236}">
              <a16:creationId xmlns:a16="http://schemas.microsoft.com/office/drawing/2014/main" id="{00000000-0008-0000-0000-0000E06B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115425" cy="254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4</xdr:col>
          <xdr:colOff>190500</xdr:colOff>
          <xdr:row>12</xdr:row>
          <xdr:rowOff>57150</xdr:rowOff>
        </xdr:from>
        <xdr:to>
          <xdr:col>6</xdr:col>
          <xdr:colOff>114300</xdr:colOff>
          <xdr:row>14</xdr:row>
          <xdr:rowOff>19050</xdr:rowOff>
        </xdr:to>
        <xdr:sp macro="" textlink="">
          <xdr:nvSpPr>
            <xdr:cNvPr id="27317" name="Button 693" hidden="1">
              <a:extLst>
                <a:ext uri="{63B3BB69-23CF-44E3-9099-C40C66FF867C}">
                  <a14:compatExt spid="_x0000_s27317"/>
                </a:ext>
                <a:ext uri="{FF2B5EF4-FFF2-40B4-BE49-F238E27FC236}">
                  <a16:creationId xmlns:a16="http://schemas.microsoft.com/office/drawing/2014/main" id="{00000000-0008-0000-0000-0000B56A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Help Sheet</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66675</xdr:colOff>
          <xdr:row>0</xdr:row>
          <xdr:rowOff>142875</xdr:rowOff>
        </xdr:from>
        <xdr:to>
          <xdr:col>1</xdr:col>
          <xdr:colOff>981075</xdr:colOff>
          <xdr:row>1</xdr:row>
          <xdr:rowOff>142875</xdr:rowOff>
        </xdr:to>
        <xdr:sp macro="" textlink="">
          <xdr:nvSpPr>
            <xdr:cNvPr id="16514" name="CommandButton1" hidden="1">
              <a:extLst>
                <a:ext uri="{63B3BB69-23CF-44E3-9099-C40C66FF867C}">
                  <a14:compatExt spid="_x0000_s16514"/>
                </a:ext>
                <a:ext uri="{FF2B5EF4-FFF2-40B4-BE49-F238E27FC236}">
                  <a16:creationId xmlns:a16="http://schemas.microsoft.com/office/drawing/2014/main" id="{00000000-0008-0000-0900-00008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66675</xdr:colOff>
          <xdr:row>0</xdr:row>
          <xdr:rowOff>133350</xdr:rowOff>
        </xdr:from>
        <xdr:to>
          <xdr:col>3</xdr:col>
          <xdr:colOff>523875</xdr:colOff>
          <xdr:row>1</xdr:row>
          <xdr:rowOff>133350</xdr:rowOff>
        </xdr:to>
        <xdr:sp macro="" textlink="">
          <xdr:nvSpPr>
            <xdr:cNvPr id="16515" name="CommandButton2" hidden="1">
              <a:extLst>
                <a:ext uri="{63B3BB69-23CF-44E3-9099-C40C66FF867C}">
                  <a14:compatExt spid="_x0000_s16515"/>
                </a:ext>
                <a:ext uri="{FF2B5EF4-FFF2-40B4-BE49-F238E27FC236}">
                  <a16:creationId xmlns:a16="http://schemas.microsoft.com/office/drawing/2014/main" id="{00000000-0008-0000-0900-00008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295275</xdr:colOff>
          <xdr:row>0</xdr:row>
          <xdr:rowOff>142875</xdr:rowOff>
        </xdr:from>
        <xdr:to>
          <xdr:col>5</xdr:col>
          <xdr:colOff>342900</xdr:colOff>
          <xdr:row>1</xdr:row>
          <xdr:rowOff>133350</xdr:rowOff>
        </xdr:to>
        <xdr:sp macro="" textlink="">
          <xdr:nvSpPr>
            <xdr:cNvPr id="16712" name="CommandButton3" hidden="1">
              <a:extLst>
                <a:ext uri="{63B3BB69-23CF-44E3-9099-C40C66FF867C}">
                  <a14:compatExt spid="_x0000_s16712"/>
                </a:ext>
                <a:ext uri="{FF2B5EF4-FFF2-40B4-BE49-F238E27FC236}">
                  <a16:creationId xmlns:a16="http://schemas.microsoft.com/office/drawing/2014/main" id="{00000000-0008-0000-0900-0000484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209550</xdr:colOff>
      <xdr:row>1</xdr:row>
      <xdr:rowOff>180975</xdr:rowOff>
    </xdr:from>
    <xdr:to>
      <xdr:col>6</xdr:col>
      <xdr:colOff>234950</xdr:colOff>
      <xdr:row>3</xdr:row>
      <xdr:rowOff>152400</xdr:rowOff>
    </xdr:to>
    <xdr:pic>
      <xdr:nvPicPr>
        <xdr:cNvPr id="52124" name="Picture 6">
          <a:extLst>
            <a:ext uri="{FF2B5EF4-FFF2-40B4-BE49-F238E27FC236}">
              <a16:creationId xmlns:a16="http://schemas.microsoft.com/office/drawing/2014/main" id="{00000000-0008-0000-0900-00009CC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1490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70</xdr:row>
      <xdr:rowOff>64015</xdr:rowOff>
    </xdr:from>
    <xdr:to>
      <xdr:col>5</xdr:col>
      <xdr:colOff>352425</xdr:colOff>
      <xdr:row>98</xdr:row>
      <xdr:rowOff>145535</xdr:rowOff>
    </xdr:to>
    <xdr:pic>
      <xdr:nvPicPr>
        <xdr:cNvPr id="52125" name="Picture 6">
          <a:extLst>
            <a:ext uri="{FF2B5EF4-FFF2-40B4-BE49-F238E27FC236}">
              <a16:creationId xmlns:a16="http://schemas.microsoft.com/office/drawing/2014/main" id="{00000000-0008-0000-0900-00009DCB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bwMode="auto">
        <a:xfrm>
          <a:off x="0" y="14034015"/>
          <a:ext cx="6092825" cy="47074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742950</xdr:colOff>
          <xdr:row>11</xdr:row>
          <xdr:rowOff>314325</xdr:rowOff>
        </xdr:from>
        <xdr:to>
          <xdr:col>8</xdr:col>
          <xdr:colOff>1209675</xdr:colOff>
          <xdr:row>11</xdr:row>
          <xdr:rowOff>628650</xdr:rowOff>
        </xdr:to>
        <xdr:sp macro="" textlink="">
          <xdr:nvSpPr>
            <xdr:cNvPr id="51809" name="CommandButton4" hidden="1">
              <a:extLst>
                <a:ext uri="{63B3BB69-23CF-44E3-9099-C40C66FF867C}">
                  <a14:compatExt spid="_x0000_s51809"/>
                </a:ext>
                <a:ext uri="{FF2B5EF4-FFF2-40B4-BE49-F238E27FC236}">
                  <a16:creationId xmlns:a16="http://schemas.microsoft.com/office/drawing/2014/main" id="{00000000-0008-0000-0900-000061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466725</xdr:colOff>
          <xdr:row>0</xdr:row>
          <xdr:rowOff>142875</xdr:rowOff>
        </xdr:from>
        <xdr:to>
          <xdr:col>7</xdr:col>
          <xdr:colOff>828675</xdr:colOff>
          <xdr:row>1</xdr:row>
          <xdr:rowOff>133350</xdr:rowOff>
        </xdr:to>
        <xdr:sp macro="" textlink="">
          <xdr:nvSpPr>
            <xdr:cNvPr id="51833" name="CommandButton5" hidden="1">
              <a:extLst>
                <a:ext uri="{63B3BB69-23CF-44E3-9099-C40C66FF867C}">
                  <a14:compatExt spid="_x0000_s51833"/>
                </a:ext>
                <a:ext uri="{FF2B5EF4-FFF2-40B4-BE49-F238E27FC236}">
                  <a16:creationId xmlns:a16="http://schemas.microsoft.com/office/drawing/2014/main" id="{00000000-0008-0000-0900-000079C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47625</xdr:colOff>
          <xdr:row>0</xdr:row>
          <xdr:rowOff>142875</xdr:rowOff>
        </xdr:from>
        <xdr:to>
          <xdr:col>1</xdr:col>
          <xdr:colOff>962025</xdr:colOff>
          <xdr:row>1</xdr:row>
          <xdr:rowOff>142875</xdr:rowOff>
        </xdr:to>
        <xdr:sp macro="" textlink="">
          <xdr:nvSpPr>
            <xdr:cNvPr id="17479" name="CommandButton1" hidden="1">
              <a:extLst>
                <a:ext uri="{63B3BB69-23CF-44E3-9099-C40C66FF867C}">
                  <a14:compatExt spid="_x0000_s17479"/>
                </a:ext>
                <a:ext uri="{FF2B5EF4-FFF2-40B4-BE49-F238E27FC236}">
                  <a16:creationId xmlns:a16="http://schemas.microsoft.com/office/drawing/2014/main" id="{00000000-0008-0000-0A00-000047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57150</xdr:colOff>
          <xdr:row>0</xdr:row>
          <xdr:rowOff>133350</xdr:rowOff>
        </xdr:from>
        <xdr:to>
          <xdr:col>3</xdr:col>
          <xdr:colOff>247650</xdr:colOff>
          <xdr:row>1</xdr:row>
          <xdr:rowOff>133350</xdr:rowOff>
        </xdr:to>
        <xdr:sp macro="" textlink="">
          <xdr:nvSpPr>
            <xdr:cNvPr id="17480" name="CommandButton2" hidden="1">
              <a:extLst>
                <a:ext uri="{63B3BB69-23CF-44E3-9099-C40C66FF867C}">
                  <a14:compatExt spid="_x0000_s17480"/>
                </a:ext>
                <a:ext uri="{FF2B5EF4-FFF2-40B4-BE49-F238E27FC236}">
                  <a16:creationId xmlns:a16="http://schemas.microsoft.com/office/drawing/2014/main" id="{00000000-0008-0000-0A00-000048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0</xdr:row>
          <xdr:rowOff>133350</xdr:rowOff>
        </xdr:from>
        <xdr:to>
          <xdr:col>6</xdr:col>
          <xdr:colOff>114300</xdr:colOff>
          <xdr:row>1</xdr:row>
          <xdr:rowOff>133350</xdr:rowOff>
        </xdr:to>
        <xdr:sp macro="" textlink="">
          <xdr:nvSpPr>
            <xdr:cNvPr id="17581" name="CommandButton3" hidden="1">
              <a:extLst>
                <a:ext uri="{63B3BB69-23CF-44E3-9099-C40C66FF867C}">
                  <a14:compatExt spid="_x0000_s17581"/>
                </a:ext>
                <a:ext uri="{FF2B5EF4-FFF2-40B4-BE49-F238E27FC236}">
                  <a16:creationId xmlns:a16="http://schemas.microsoft.com/office/drawing/2014/main" id="{00000000-0008-0000-0A00-0000AD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457200</xdr:colOff>
          <xdr:row>0</xdr:row>
          <xdr:rowOff>142875</xdr:rowOff>
        </xdr:from>
        <xdr:to>
          <xdr:col>4</xdr:col>
          <xdr:colOff>276225</xdr:colOff>
          <xdr:row>1</xdr:row>
          <xdr:rowOff>142875</xdr:rowOff>
        </xdr:to>
        <xdr:sp macro="" textlink="">
          <xdr:nvSpPr>
            <xdr:cNvPr id="17603" name="CommandButton4" hidden="1">
              <a:extLst>
                <a:ext uri="{63B3BB69-23CF-44E3-9099-C40C66FF867C}">
                  <a14:compatExt spid="_x0000_s17603"/>
                </a:ext>
                <a:ext uri="{FF2B5EF4-FFF2-40B4-BE49-F238E27FC236}">
                  <a16:creationId xmlns:a16="http://schemas.microsoft.com/office/drawing/2014/main" id="{00000000-0008-0000-0A00-0000C3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819150</xdr:colOff>
      <xdr:row>1</xdr:row>
      <xdr:rowOff>161925</xdr:rowOff>
    </xdr:from>
    <xdr:to>
      <xdr:col>7</xdr:col>
      <xdr:colOff>95250</xdr:colOff>
      <xdr:row>3</xdr:row>
      <xdr:rowOff>133350</xdr:rowOff>
    </xdr:to>
    <xdr:pic>
      <xdr:nvPicPr>
        <xdr:cNvPr id="18419" name="Picture 7">
          <a:extLst>
            <a:ext uri="{FF2B5EF4-FFF2-40B4-BE49-F238E27FC236}">
              <a16:creationId xmlns:a16="http://schemas.microsoft.com/office/drawing/2014/main" id="{00000000-0008-0000-0A00-0000F34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7207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6</xdr:col>
          <xdr:colOff>200025</xdr:colOff>
          <xdr:row>0</xdr:row>
          <xdr:rowOff>133350</xdr:rowOff>
        </xdr:from>
        <xdr:to>
          <xdr:col>8</xdr:col>
          <xdr:colOff>733425</xdr:colOff>
          <xdr:row>1</xdr:row>
          <xdr:rowOff>123825</xdr:rowOff>
        </xdr:to>
        <xdr:sp macro="" textlink="">
          <xdr:nvSpPr>
            <xdr:cNvPr id="18380" name="CommandButton5" hidden="1">
              <a:extLst>
                <a:ext uri="{63B3BB69-23CF-44E3-9099-C40C66FF867C}">
                  <a14:compatExt spid="_x0000_s18380"/>
                </a:ext>
                <a:ext uri="{FF2B5EF4-FFF2-40B4-BE49-F238E27FC236}">
                  <a16:creationId xmlns:a16="http://schemas.microsoft.com/office/drawing/2014/main" id="{00000000-0008-0000-0A00-0000CC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514350</xdr:colOff>
          <xdr:row>15</xdr:row>
          <xdr:rowOff>190500</xdr:rowOff>
        </xdr:from>
        <xdr:to>
          <xdr:col>10</xdr:col>
          <xdr:colOff>704850</xdr:colOff>
          <xdr:row>16</xdr:row>
          <xdr:rowOff>9525</xdr:rowOff>
        </xdr:to>
        <xdr:sp macro="" textlink="">
          <xdr:nvSpPr>
            <xdr:cNvPr id="18382" name="CommandButton6" hidden="1">
              <a:extLst>
                <a:ext uri="{63B3BB69-23CF-44E3-9099-C40C66FF867C}">
                  <a14:compatExt spid="_x0000_s18382"/>
                </a:ext>
                <a:ext uri="{FF2B5EF4-FFF2-40B4-BE49-F238E27FC236}">
                  <a16:creationId xmlns:a16="http://schemas.microsoft.com/office/drawing/2014/main" id="{00000000-0008-0000-0A00-0000CE4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1</xdr:col>
          <xdr:colOff>752475</xdr:colOff>
          <xdr:row>1</xdr:row>
          <xdr:rowOff>142875</xdr:rowOff>
        </xdr:to>
        <xdr:sp macro="" textlink="">
          <xdr:nvSpPr>
            <xdr:cNvPr id="19558" name="CommandButton1" hidden="1">
              <a:extLst>
                <a:ext uri="{63B3BB69-23CF-44E3-9099-C40C66FF867C}">
                  <a14:compatExt spid="_x0000_s19558"/>
                </a:ext>
                <a:ext uri="{FF2B5EF4-FFF2-40B4-BE49-F238E27FC236}">
                  <a16:creationId xmlns:a16="http://schemas.microsoft.com/office/drawing/2014/main" id="{00000000-0008-0000-0B00-000066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952500</xdr:colOff>
          <xdr:row>0</xdr:row>
          <xdr:rowOff>133350</xdr:rowOff>
        </xdr:from>
        <xdr:to>
          <xdr:col>2</xdr:col>
          <xdr:colOff>647700</xdr:colOff>
          <xdr:row>1</xdr:row>
          <xdr:rowOff>133350</xdr:rowOff>
        </xdr:to>
        <xdr:sp macro="" textlink="">
          <xdr:nvSpPr>
            <xdr:cNvPr id="19559" name="CommandButton2" hidden="1">
              <a:extLst>
                <a:ext uri="{63B3BB69-23CF-44E3-9099-C40C66FF867C}">
                  <a14:compatExt spid="_x0000_s19559"/>
                </a:ext>
                <a:ext uri="{FF2B5EF4-FFF2-40B4-BE49-F238E27FC236}">
                  <a16:creationId xmlns:a16="http://schemas.microsoft.com/office/drawing/2014/main" id="{00000000-0008-0000-0B00-000067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2</xdr:col>
          <xdr:colOff>2409825</xdr:colOff>
          <xdr:row>0</xdr:row>
          <xdr:rowOff>142875</xdr:rowOff>
        </xdr:from>
        <xdr:to>
          <xdr:col>4</xdr:col>
          <xdr:colOff>95250</xdr:colOff>
          <xdr:row>1</xdr:row>
          <xdr:rowOff>133350</xdr:rowOff>
        </xdr:to>
        <xdr:sp macro="" textlink="">
          <xdr:nvSpPr>
            <xdr:cNvPr id="19661" name="CommandButton3" hidden="1">
              <a:extLst>
                <a:ext uri="{63B3BB69-23CF-44E3-9099-C40C66FF867C}">
                  <a14:compatExt spid="_x0000_s19661"/>
                </a:ext>
                <a:ext uri="{FF2B5EF4-FFF2-40B4-BE49-F238E27FC236}">
                  <a16:creationId xmlns:a16="http://schemas.microsoft.com/office/drawing/2014/main" id="{00000000-0008-0000-0B00-0000CD4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19050</xdr:colOff>
      <xdr:row>1</xdr:row>
      <xdr:rowOff>152400</xdr:rowOff>
    </xdr:from>
    <xdr:to>
      <xdr:col>5</xdr:col>
      <xdr:colOff>409575</xdr:colOff>
      <xdr:row>3</xdr:row>
      <xdr:rowOff>123825</xdr:rowOff>
    </xdr:to>
    <xdr:pic>
      <xdr:nvPicPr>
        <xdr:cNvPr id="57365" name="Picture 5">
          <a:extLst>
            <a:ext uri="{FF2B5EF4-FFF2-40B4-BE49-F238E27FC236}">
              <a16:creationId xmlns:a16="http://schemas.microsoft.com/office/drawing/2014/main" id="{00000000-0008-0000-0B00-000015E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9525</xdr:colOff>
          <xdr:row>0</xdr:row>
          <xdr:rowOff>142875</xdr:rowOff>
        </xdr:from>
        <xdr:to>
          <xdr:col>1</xdr:col>
          <xdr:colOff>923925</xdr:colOff>
          <xdr:row>1</xdr:row>
          <xdr:rowOff>142875</xdr:rowOff>
        </xdr:to>
        <xdr:sp macro="" textlink="">
          <xdr:nvSpPr>
            <xdr:cNvPr id="29697" name="CommandButton1" hidden="1">
              <a:extLst>
                <a:ext uri="{63B3BB69-23CF-44E3-9099-C40C66FF867C}">
                  <a14:compatExt spid="_x0000_s29697"/>
                </a:ext>
                <a:ext uri="{FF2B5EF4-FFF2-40B4-BE49-F238E27FC236}">
                  <a16:creationId xmlns:a16="http://schemas.microsoft.com/office/drawing/2014/main" id="{00000000-0008-0000-0C00-000001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1123950</xdr:colOff>
          <xdr:row>0</xdr:row>
          <xdr:rowOff>133350</xdr:rowOff>
        </xdr:from>
        <xdr:to>
          <xdr:col>2</xdr:col>
          <xdr:colOff>1219200</xdr:colOff>
          <xdr:row>1</xdr:row>
          <xdr:rowOff>133350</xdr:rowOff>
        </xdr:to>
        <xdr:sp macro="" textlink="">
          <xdr:nvSpPr>
            <xdr:cNvPr id="29698" name="CommandButton2" hidden="1">
              <a:extLst>
                <a:ext uri="{63B3BB69-23CF-44E3-9099-C40C66FF867C}">
                  <a14:compatExt spid="_x0000_s29698"/>
                </a:ext>
                <a:ext uri="{FF2B5EF4-FFF2-40B4-BE49-F238E27FC236}">
                  <a16:creationId xmlns:a16="http://schemas.microsoft.com/office/drawing/2014/main" id="{00000000-0008-0000-0C00-000002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666750</xdr:colOff>
          <xdr:row>0</xdr:row>
          <xdr:rowOff>142875</xdr:rowOff>
        </xdr:from>
        <xdr:to>
          <xdr:col>5</xdr:col>
          <xdr:colOff>19050</xdr:colOff>
          <xdr:row>1</xdr:row>
          <xdr:rowOff>133350</xdr:rowOff>
        </xdr:to>
        <xdr:sp macro="" textlink="">
          <xdr:nvSpPr>
            <xdr:cNvPr id="29739" name="CommandButton3" hidden="1">
              <a:extLst>
                <a:ext uri="{63B3BB69-23CF-44E3-9099-C40C66FF867C}">
                  <a14:compatExt spid="_x0000_s29739"/>
                </a:ext>
                <a:ext uri="{FF2B5EF4-FFF2-40B4-BE49-F238E27FC236}">
                  <a16:creationId xmlns:a16="http://schemas.microsoft.com/office/drawing/2014/main" id="{00000000-0008-0000-0C00-00002B7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581025</xdr:colOff>
      <xdr:row>1</xdr:row>
      <xdr:rowOff>190500</xdr:rowOff>
    </xdr:from>
    <xdr:to>
      <xdr:col>5</xdr:col>
      <xdr:colOff>819150</xdr:colOff>
      <xdr:row>4</xdr:row>
      <xdr:rowOff>0</xdr:rowOff>
    </xdr:to>
    <xdr:pic>
      <xdr:nvPicPr>
        <xdr:cNvPr id="30575" name="Picture 5">
          <a:extLst>
            <a:ext uri="{FF2B5EF4-FFF2-40B4-BE49-F238E27FC236}">
              <a16:creationId xmlns:a16="http://schemas.microsoft.com/office/drawing/2014/main" id="{00000000-0008-0000-0C00-00006F7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1</xdr:col>
          <xdr:colOff>847725</xdr:colOff>
          <xdr:row>1</xdr:row>
          <xdr:rowOff>142875</xdr:rowOff>
        </xdr:to>
        <xdr:sp macro="" textlink="">
          <xdr:nvSpPr>
            <xdr:cNvPr id="22800" name="CommandButton1" hidden="1">
              <a:extLst>
                <a:ext uri="{63B3BB69-23CF-44E3-9099-C40C66FF867C}">
                  <a14:compatExt spid="_x0000_s22800"/>
                </a:ext>
                <a:ext uri="{FF2B5EF4-FFF2-40B4-BE49-F238E27FC236}">
                  <a16:creationId xmlns:a16="http://schemas.microsoft.com/office/drawing/2014/main" id="{00000000-0008-0000-0D00-000010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1047750</xdr:colOff>
          <xdr:row>0</xdr:row>
          <xdr:rowOff>133350</xdr:rowOff>
        </xdr:from>
        <xdr:to>
          <xdr:col>2</xdr:col>
          <xdr:colOff>333375</xdr:colOff>
          <xdr:row>1</xdr:row>
          <xdr:rowOff>133350</xdr:rowOff>
        </xdr:to>
        <xdr:sp macro="" textlink="">
          <xdr:nvSpPr>
            <xdr:cNvPr id="22801" name="CommandButton2" hidden="1">
              <a:extLst>
                <a:ext uri="{63B3BB69-23CF-44E3-9099-C40C66FF867C}">
                  <a14:compatExt spid="_x0000_s22801"/>
                </a:ext>
                <a:ext uri="{FF2B5EF4-FFF2-40B4-BE49-F238E27FC236}">
                  <a16:creationId xmlns:a16="http://schemas.microsoft.com/office/drawing/2014/main" id="{00000000-0008-0000-0D00-000011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0</xdr:row>
          <xdr:rowOff>142875</xdr:rowOff>
        </xdr:from>
        <xdr:to>
          <xdr:col>4</xdr:col>
          <xdr:colOff>361950</xdr:colOff>
          <xdr:row>1</xdr:row>
          <xdr:rowOff>133350</xdr:rowOff>
        </xdr:to>
        <xdr:sp macro="" textlink="">
          <xdr:nvSpPr>
            <xdr:cNvPr id="22802" name="CommandButton3" hidden="1">
              <a:extLst>
                <a:ext uri="{63B3BB69-23CF-44E3-9099-C40C66FF867C}">
                  <a14:compatExt spid="_x0000_s22802"/>
                </a:ext>
                <a:ext uri="{FF2B5EF4-FFF2-40B4-BE49-F238E27FC236}">
                  <a16:creationId xmlns:a16="http://schemas.microsoft.com/office/drawing/2014/main" id="{00000000-0008-0000-0D00-00001259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466725</xdr:colOff>
      <xdr:row>3</xdr:row>
      <xdr:rowOff>152400</xdr:rowOff>
    </xdr:to>
    <xdr:pic>
      <xdr:nvPicPr>
        <xdr:cNvPr id="23542" name="Picture 5">
          <a:extLst>
            <a:ext uri="{FF2B5EF4-FFF2-40B4-BE49-F238E27FC236}">
              <a16:creationId xmlns:a16="http://schemas.microsoft.com/office/drawing/2014/main" id="{00000000-0008-0000-0D00-0000F65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19650" y="495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1666875</xdr:colOff>
          <xdr:row>1</xdr:row>
          <xdr:rowOff>142875</xdr:rowOff>
        </xdr:to>
        <xdr:sp macro="" textlink="">
          <xdr:nvSpPr>
            <xdr:cNvPr id="76801" name="CommandButton1" hidden="1">
              <a:extLst>
                <a:ext uri="{63B3BB69-23CF-44E3-9099-C40C66FF867C}">
                  <a14:compatExt spid="_x0000_s76801"/>
                </a:ext>
                <a:ext uri="{FF2B5EF4-FFF2-40B4-BE49-F238E27FC236}">
                  <a16:creationId xmlns:a16="http://schemas.microsoft.com/office/drawing/2014/main" id="{00000000-0008-0000-0E00-000001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1876425</xdr:colOff>
          <xdr:row>0</xdr:row>
          <xdr:rowOff>133350</xdr:rowOff>
        </xdr:from>
        <xdr:to>
          <xdr:col>1</xdr:col>
          <xdr:colOff>28575</xdr:colOff>
          <xdr:row>1</xdr:row>
          <xdr:rowOff>133350</xdr:rowOff>
        </xdr:to>
        <xdr:sp macro="" textlink="">
          <xdr:nvSpPr>
            <xdr:cNvPr id="76802" name="CommandButton2" hidden="1">
              <a:extLst>
                <a:ext uri="{63B3BB69-23CF-44E3-9099-C40C66FF867C}">
                  <a14:compatExt spid="_x0000_s76802"/>
                </a:ext>
                <a:ext uri="{FF2B5EF4-FFF2-40B4-BE49-F238E27FC236}">
                  <a16:creationId xmlns:a16="http://schemas.microsoft.com/office/drawing/2014/main" id="{00000000-0008-0000-0E00-000002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0</xdr:row>
          <xdr:rowOff>142875</xdr:rowOff>
        </xdr:from>
        <xdr:to>
          <xdr:col>4</xdr:col>
          <xdr:colOff>361950</xdr:colOff>
          <xdr:row>1</xdr:row>
          <xdr:rowOff>133350</xdr:rowOff>
        </xdr:to>
        <xdr:sp macro="" textlink="">
          <xdr:nvSpPr>
            <xdr:cNvPr id="76803" name="WasteHelp" hidden="1">
              <a:extLst>
                <a:ext uri="{63B3BB69-23CF-44E3-9099-C40C66FF867C}">
                  <a14:compatExt spid="_x0000_s76803"/>
                </a:ext>
                <a:ext uri="{FF2B5EF4-FFF2-40B4-BE49-F238E27FC236}">
                  <a16:creationId xmlns:a16="http://schemas.microsoft.com/office/drawing/2014/main" id="{00000000-0008-0000-0E00-0000032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76200</xdr:colOff>
      <xdr:row>1</xdr:row>
      <xdr:rowOff>180975</xdr:rowOff>
    </xdr:from>
    <xdr:to>
      <xdr:col>5</xdr:col>
      <xdr:colOff>160866</xdr:colOff>
      <xdr:row>3</xdr:row>
      <xdr:rowOff>152400</xdr:rowOff>
    </xdr:to>
    <xdr:pic>
      <xdr:nvPicPr>
        <xdr:cNvPr id="5" name="Picture 5">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492125"/>
          <a:ext cx="1892300" cy="48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133350</xdr:colOff>
          <xdr:row>0</xdr:row>
          <xdr:rowOff>142875</xdr:rowOff>
        </xdr:from>
        <xdr:to>
          <xdr:col>1</xdr:col>
          <xdr:colOff>1047750</xdr:colOff>
          <xdr:row>1</xdr:row>
          <xdr:rowOff>142875</xdr:rowOff>
        </xdr:to>
        <xdr:sp macro="" textlink="">
          <xdr:nvSpPr>
            <xdr:cNvPr id="25018" name="CommandButton1" hidden="1">
              <a:extLst>
                <a:ext uri="{63B3BB69-23CF-44E3-9099-C40C66FF867C}">
                  <a14:compatExt spid="_x0000_s25018"/>
                </a:ext>
                <a:ext uri="{FF2B5EF4-FFF2-40B4-BE49-F238E27FC236}">
                  <a16:creationId xmlns:a16="http://schemas.microsoft.com/office/drawing/2014/main" id="{00000000-0008-0000-0F00-0000BA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1247775</xdr:colOff>
          <xdr:row>0</xdr:row>
          <xdr:rowOff>133350</xdr:rowOff>
        </xdr:from>
        <xdr:to>
          <xdr:col>2</xdr:col>
          <xdr:colOff>304800</xdr:colOff>
          <xdr:row>1</xdr:row>
          <xdr:rowOff>133350</xdr:rowOff>
        </xdr:to>
        <xdr:sp macro="" textlink="">
          <xdr:nvSpPr>
            <xdr:cNvPr id="25019" name="CommandButton2" hidden="1">
              <a:extLst>
                <a:ext uri="{63B3BB69-23CF-44E3-9099-C40C66FF867C}">
                  <a14:compatExt spid="_x0000_s25019"/>
                </a:ext>
                <a:ext uri="{FF2B5EF4-FFF2-40B4-BE49-F238E27FC236}">
                  <a16:creationId xmlns:a16="http://schemas.microsoft.com/office/drawing/2014/main" id="{00000000-0008-0000-0F00-0000BB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495300</xdr:colOff>
          <xdr:row>0</xdr:row>
          <xdr:rowOff>142875</xdr:rowOff>
        </xdr:from>
        <xdr:to>
          <xdr:col>4</xdr:col>
          <xdr:colOff>590550</xdr:colOff>
          <xdr:row>1</xdr:row>
          <xdr:rowOff>133350</xdr:rowOff>
        </xdr:to>
        <xdr:sp macro="" textlink="">
          <xdr:nvSpPr>
            <xdr:cNvPr id="25020" name="CommandButton3" hidden="1">
              <a:extLst>
                <a:ext uri="{63B3BB69-23CF-44E3-9099-C40C66FF867C}">
                  <a14:compatExt spid="_x0000_s25020"/>
                </a:ext>
                <a:ext uri="{FF2B5EF4-FFF2-40B4-BE49-F238E27FC236}">
                  <a16:creationId xmlns:a16="http://schemas.microsoft.com/office/drawing/2014/main" id="{00000000-0008-0000-0F00-0000BC6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742950</xdr:colOff>
      <xdr:row>1</xdr:row>
      <xdr:rowOff>161925</xdr:rowOff>
    </xdr:from>
    <xdr:to>
      <xdr:col>4</xdr:col>
      <xdr:colOff>742950</xdr:colOff>
      <xdr:row>3</xdr:row>
      <xdr:rowOff>133350</xdr:rowOff>
    </xdr:to>
    <xdr:pic>
      <xdr:nvPicPr>
        <xdr:cNvPr id="55404" name="Picture 6">
          <a:extLst>
            <a:ext uri="{FF2B5EF4-FFF2-40B4-BE49-F238E27FC236}">
              <a16:creationId xmlns:a16="http://schemas.microsoft.com/office/drawing/2014/main" id="{00000000-0008-0000-0F00-00006CD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562350"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1628775</xdr:colOff>
          <xdr:row>1</xdr:row>
          <xdr:rowOff>142875</xdr:rowOff>
        </xdr:to>
        <xdr:sp macro="" textlink="">
          <xdr:nvSpPr>
            <xdr:cNvPr id="10299" name="CommandButton1" hidden="1">
              <a:extLst>
                <a:ext uri="{63B3BB69-23CF-44E3-9099-C40C66FF867C}">
                  <a14:compatExt spid="_x0000_s10299"/>
                </a:ext>
                <a:ext uri="{FF2B5EF4-FFF2-40B4-BE49-F238E27FC236}">
                  <a16:creationId xmlns:a16="http://schemas.microsoft.com/office/drawing/2014/main" id="{00000000-0008-0000-1000-00003B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1085850</xdr:colOff>
          <xdr:row>1</xdr:row>
          <xdr:rowOff>133350</xdr:rowOff>
        </xdr:to>
        <xdr:sp macro="" textlink="">
          <xdr:nvSpPr>
            <xdr:cNvPr id="10300" name="CommandButton2" hidden="1">
              <a:extLst>
                <a:ext uri="{63B3BB69-23CF-44E3-9099-C40C66FF867C}">
                  <a14:compatExt spid="_x0000_s10300"/>
                </a:ext>
                <a:ext uri="{FF2B5EF4-FFF2-40B4-BE49-F238E27FC236}">
                  <a16:creationId xmlns:a16="http://schemas.microsoft.com/office/drawing/2014/main" id="{00000000-0008-0000-1000-00003C2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361950</xdr:colOff>
      <xdr:row>0</xdr:row>
      <xdr:rowOff>200025</xdr:rowOff>
    </xdr:from>
    <xdr:to>
      <xdr:col>3</xdr:col>
      <xdr:colOff>1047750</xdr:colOff>
      <xdr:row>2</xdr:row>
      <xdr:rowOff>158750</xdr:rowOff>
    </xdr:to>
    <xdr:pic>
      <xdr:nvPicPr>
        <xdr:cNvPr id="11216" name="Picture 4">
          <a:extLst>
            <a:ext uri="{FF2B5EF4-FFF2-40B4-BE49-F238E27FC236}">
              <a16:creationId xmlns:a16="http://schemas.microsoft.com/office/drawing/2014/main" id="{00000000-0008-0000-1000-0000D02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000500" y="200025"/>
          <a:ext cx="2257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0</xdr:col>
          <xdr:colOff>1628775</xdr:colOff>
          <xdr:row>1</xdr:row>
          <xdr:rowOff>142875</xdr:rowOff>
        </xdr:to>
        <xdr:sp macro="" textlink="">
          <xdr:nvSpPr>
            <xdr:cNvPr id="25602" name="CommandButton1"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1200150</xdr:colOff>
          <xdr:row>1</xdr:row>
          <xdr:rowOff>133350</xdr:rowOff>
        </xdr:to>
        <xdr:sp macro="" textlink="">
          <xdr:nvSpPr>
            <xdr:cNvPr id="25603" name="CommandButton2"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200025</xdr:colOff>
          <xdr:row>0</xdr:row>
          <xdr:rowOff>142875</xdr:rowOff>
        </xdr:from>
        <xdr:to>
          <xdr:col>4</xdr:col>
          <xdr:colOff>314325</xdr:colOff>
          <xdr:row>1</xdr:row>
          <xdr:rowOff>133350</xdr:rowOff>
        </xdr:to>
        <xdr:sp macro="" textlink="">
          <xdr:nvSpPr>
            <xdr:cNvPr id="25852" name="CommandButton3" hidden="1">
              <a:extLst>
                <a:ext uri="{63B3BB69-23CF-44E3-9099-C40C66FF867C}">
                  <a14:compatExt spid="_x0000_s25852"/>
                </a:ext>
                <a:ext uri="{FF2B5EF4-FFF2-40B4-BE49-F238E27FC236}">
                  <a16:creationId xmlns:a16="http://schemas.microsoft.com/office/drawing/2014/main" id="{00000000-0008-0000-1100-0000FC6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714375</xdr:colOff>
          <xdr:row>0</xdr:row>
          <xdr:rowOff>142875</xdr:rowOff>
        </xdr:from>
        <xdr:to>
          <xdr:col>5</xdr:col>
          <xdr:colOff>676275</xdr:colOff>
          <xdr:row>1</xdr:row>
          <xdr:rowOff>133350</xdr:rowOff>
        </xdr:to>
        <xdr:sp macro="" textlink="">
          <xdr:nvSpPr>
            <xdr:cNvPr id="26016" name="CommandButton4" hidden="1">
              <a:extLst>
                <a:ext uri="{63B3BB69-23CF-44E3-9099-C40C66FF867C}">
                  <a14:compatExt spid="_x0000_s26016"/>
                </a:ext>
                <a:ext uri="{FF2B5EF4-FFF2-40B4-BE49-F238E27FC236}">
                  <a16:creationId xmlns:a16="http://schemas.microsoft.com/office/drawing/2014/main" id="{00000000-0008-0000-1100-0000A06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0</xdr:colOff>
      <xdr:row>1</xdr:row>
      <xdr:rowOff>295275</xdr:rowOff>
    </xdr:from>
    <xdr:to>
      <xdr:col>5</xdr:col>
      <xdr:colOff>742950</xdr:colOff>
      <xdr:row>4</xdr:row>
      <xdr:rowOff>104775</xdr:rowOff>
    </xdr:to>
    <xdr:pic>
      <xdr:nvPicPr>
        <xdr:cNvPr id="26527" name="Picture 6">
          <a:extLst>
            <a:ext uri="{FF2B5EF4-FFF2-40B4-BE49-F238E27FC236}">
              <a16:creationId xmlns:a16="http://schemas.microsoft.com/office/drawing/2014/main" id="{00000000-0008-0000-1100-00009F6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76850" y="6096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723900</xdr:colOff>
          <xdr:row>0</xdr:row>
          <xdr:rowOff>152400</xdr:rowOff>
        </xdr:from>
        <xdr:to>
          <xdr:col>0</xdr:col>
          <xdr:colOff>1638300</xdr:colOff>
          <xdr:row>1</xdr:row>
          <xdr:rowOff>152400</xdr:rowOff>
        </xdr:to>
        <xdr:sp macro="" textlink="">
          <xdr:nvSpPr>
            <xdr:cNvPr id="28673" name="CommandButton1" hidden="1">
              <a:extLst>
                <a:ext uri="{63B3BB69-23CF-44E3-9099-C40C66FF867C}">
                  <a14:compatExt spid="_x0000_s28673"/>
                </a:ext>
                <a:ext uri="{FF2B5EF4-FFF2-40B4-BE49-F238E27FC236}">
                  <a16:creationId xmlns:a16="http://schemas.microsoft.com/office/drawing/2014/main" id="{00000000-0008-0000-1200-000001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1828800</xdr:colOff>
          <xdr:row>0</xdr:row>
          <xdr:rowOff>133350</xdr:rowOff>
        </xdr:from>
        <xdr:to>
          <xdr:col>1</xdr:col>
          <xdr:colOff>762000</xdr:colOff>
          <xdr:row>1</xdr:row>
          <xdr:rowOff>133350</xdr:rowOff>
        </xdr:to>
        <xdr:sp macro="" textlink="">
          <xdr:nvSpPr>
            <xdr:cNvPr id="28674" name="CommandButton2" hidden="1">
              <a:extLst>
                <a:ext uri="{63B3BB69-23CF-44E3-9099-C40C66FF867C}">
                  <a14:compatExt spid="_x0000_s28674"/>
                </a:ext>
                <a:ext uri="{FF2B5EF4-FFF2-40B4-BE49-F238E27FC236}">
                  <a16:creationId xmlns:a16="http://schemas.microsoft.com/office/drawing/2014/main" id="{00000000-0008-0000-1200-0000027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2</xdr:col>
      <xdr:colOff>866775</xdr:colOff>
      <xdr:row>1</xdr:row>
      <xdr:rowOff>47625</xdr:rowOff>
    </xdr:from>
    <xdr:to>
      <xdr:col>4</xdr:col>
      <xdr:colOff>342900</xdr:colOff>
      <xdr:row>3</xdr:row>
      <xdr:rowOff>19050</xdr:rowOff>
    </xdr:to>
    <xdr:pic>
      <xdr:nvPicPr>
        <xdr:cNvPr id="29622" name="Picture 5">
          <a:extLst>
            <a:ext uri="{FF2B5EF4-FFF2-40B4-BE49-F238E27FC236}">
              <a16:creationId xmlns:a16="http://schemas.microsoft.com/office/drawing/2014/main" id="{00000000-0008-0000-1200-0000B67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343400" y="3619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0</xdr:colOff>
          <xdr:row>32</xdr:row>
          <xdr:rowOff>0</xdr:rowOff>
        </xdr:from>
        <xdr:to>
          <xdr:col>1</xdr:col>
          <xdr:colOff>0</xdr:colOff>
          <xdr:row>33</xdr:row>
          <xdr:rowOff>0</xdr:rowOff>
        </xdr:to>
        <xdr:sp macro="" textlink="">
          <xdr:nvSpPr>
            <xdr:cNvPr id="9274" name="Stationary" hidden="1">
              <a:extLst>
                <a:ext uri="{63B3BB69-23CF-44E3-9099-C40C66FF867C}">
                  <a14:compatExt spid="_x0000_s9274"/>
                </a:ext>
                <a:ext uri="{FF2B5EF4-FFF2-40B4-BE49-F238E27FC236}">
                  <a16:creationId xmlns:a16="http://schemas.microsoft.com/office/drawing/2014/main" id="{00000000-0008-0000-0100-00003A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33</xdr:row>
          <xdr:rowOff>9525</xdr:rowOff>
        </xdr:from>
        <xdr:to>
          <xdr:col>1</xdr:col>
          <xdr:colOff>0</xdr:colOff>
          <xdr:row>34</xdr:row>
          <xdr:rowOff>9525</xdr:rowOff>
        </xdr:to>
        <xdr:sp macro="" textlink="">
          <xdr:nvSpPr>
            <xdr:cNvPr id="9277" name="Mobile" hidden="1">
              <a:extLst>
                <a:ext uri="{63B3BB69-23CF-44E3-9099-C40C66FF867C}">
                  <a14:compatExt spid="_x0000_s9277"/>
                </a:ext>
                <a:ext uri="{FF2B5EF4-FFF2-40B4-BE49-F238E27FC236}">
                  <a16:creationId xmlns:a16="http://schemas.microsoft.com/office/drawing/2014/main" id="{00000000-0008-0000-0100-00003D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34</xdr:row>
          <xdr:rowOff>9525</xdr:rowOff>
        </xdr:from>
        <xdr:to>
          <xdr:col>1</xdr:col>
          <xdr:colOff>0</xdr:colOff>
          <xdr:row>35</xdr:row>
          <xdr:rowOff>9525</xdr:rowOff>
        </xdr:to>
        <xdr:sp macro="" textlink="">
          <xdr:nvSpPr>
            <xdr:cNvPr id="9278" name="Refrigeration" hidden="1">
              <a:extLst>
                <a:ext uri="{63B3BB69-23CF-44E3-9099-C40C66FF867C}">
                  <a14:compatExt spid="_x0000_s9278"/>
                </a:ext>
                <a:ext uri="{FF2B5EF4-FFF2-40B4-BE49-F238E27FC236}">
                  <a16:creationId xmlns:a16="http://schemas.microsoft.com/office/drawing/2014/main" id="{00000000-0008-0000-0100-00003E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35</xdr:row>
          <xdr:rowOff>9525</xdr:rowOff>
        </xdr:from>
        <xdr:to>
          <xdr:col>1</xdr:col>
          <xdr:colOff>0</xdr:colOff>
          <xdr:row>36</xdr:row>
          <xdr:rowOff>9525</xdr:rowOff>
        </xdr:to>
        <xdr:sp macro="" textlink="">
          <xdr:nvSpPr>
            <xdr:cNvPr id="9281" name="FireSuppression" hidden="1">
              <a:extLst>
                <a:ext uri="{63B3BB69-23CF-44E3-9099-C40C66FF867C}">
                  <a14:compatExt spid="_x0000_s9281"/>
                </a:ext>
                <a:ext uri="{FF2B5EF4-FFF2-40B4-BE49-F238E27FC236}">
                  <a16:creationId xmlns:a16="http://schemas.microsoft.com/office/drawing/2014/main" id="{00000000-0008-0000-0100-00004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0</xdr:rowOff>
        </xdr:from>
        <xdr:to>
          <xdr:col>1</xdr:col>
          <xdr:colOff>0</xdr:colOff>
          <xdr:row>39</xdr:row>
          <xdr:rowOff>247650</xdr:rowOff>
        </xdr:to>
        <xdr:sp macro="" textlink="">
          <xdr:nvSpPr>
            <xdr:cNvPr id="9282" name="CommandButton4" hidden="1">
              <a:extLst>
                <a:ext uri="{63B3BB69-23CF-44E3-9099-C40C66FF867C}">
                  <a14:compatExt spid="_x0000_s9282"/>
                </a:ext>
                <a:ext uri="{FF2B5EF4-FFF2-40B4-BE49-F238E27FC236}">
                  <a16:creationId xmlns:a16="http://schemas.microsoft.com/office/drawing/2014/main" id="{00000000-0008-0000-0100-000042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39</xdr:row>
          <xdr:rowOff>257175</xdr:rowOff>
        </xdr:from>
        <xdr:to>
          <xdr:col>1</xdr:col>
          <xdr:colOff>0</xdr:colOff>
          <xdr:row>40</xdr:row>
          <xdr:rowOff>257175</xdr:rowOff>
        </xdr:to>
        <xdr:sp macro="" textlink="">
          <xdr:nvSpPr>
            <xdr:cNvPr id="9283" name="CommandButton6" hidden="1">
              <a:extLst>
                <a:ext uri="{63B3BB69-23CF-44E3-9099-C40C66FF867C}">
                  <a14:compatExt spid="_x0000_s9283"/>
                </a:ext>
                <a:ext uri="{FF2B5EF4-FFF2-40B4-BE49-F238E27FC236}">
                  <a16:creationId xmlns:a16="http://schemas.microsoft.com/office/drawing/2014/main" id="{00000000-0008-0000-0100-000043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1</xdr:col>
          <xdr:colOff>0</xdr:colOff>
          <xdr:row>58</xdr:row>
          <xdr:rowOff>0</xdr:rowOff>
        </xdr:to>
        <xdr:sp macro="" textlink="">
          <xdr:nvSpPr>
            <xdr:cNvPr id="9286" name="BizTravel" hidden="1">
              <a:extLst>
                <a:ext uri="{63B3BB69-23CF-44E3-9099-C40C66FF867C}">
                  <a14:compatExt spid="_x0000_s9286"/>
                </a:ext>
                <a:ext uri="{FF2B5EF4-FFF2-40B4-BE49-F238E27FC236}">
                  <a16:creationId xmlns:a16="http://schemas.microsoft.com/office/drawing/2014/main" id="{00000000-0008-0000-0100-000046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1</xdr:col>
          <xdr:colOff>0</xdr:colOff>
          <xdr:row>52</xdr:row>
          <xdr:rowOff>0</xdr:rowOff>
        </xdr:to>
        <xdr:sp macro="" textlink="">
          <xdr:nvSpPr>
            <xdr:cNvPr id="9287" name="CommandButton10" hidden="1">
              <a:extLst>
                <a:ext uri="{63B3BB69-23CF-44E3-9099-C40C66FF867C}">
                  <a14:compatExt spid="_x0000_s9287"/>
                </a:ext>
                <a:ext uri="{FF2B5EF4-FFF2-40B4-BE49-F238E27FC236}">
                  <a16:creationId xmlns:a16="http://schemas.microsoft.com/office/drawing/2014/main" id="{00000000-0008-0000-0100-000047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51</xdr:row>
          <xdr:rowOff>9525</xdr:rowOff>
        </xdr:from>
        <xdr:to>
          <xdr:col>1</xdr:col>
          <xdr:colOff>0</xdr:colOff>
          <xdr:row>52</xdr:row>
          <xdr:rowOff>9525</xdr:rowOff>
        </xdr:to>
        <xdr:sp macro="" textlink="">
          <xdr:nvSpPr>
            <xdr:cNvPr id="9288" name="Offsets" hidden="1">
              <a:extLst>
                <a:ext uri="{63B3BB69-23CF-44E3-9099-C40C66FF867C}">
                  <a14:compatExt spid="_x0000_s9288"/>
                </a:ext>
                <a:ext uri="{FF2B5EF4-FFF2-40B4-BE49-F238E27FC236}">
                  <a16:creationId xmlns:a16="http://schemas.microsoft.com/office/drawing/2014/main" id="{00000000-0008-0000-0100-000048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714375</xdr:colOff>
          <xdr:row>0</xdr:row>
          <xdr:rowOff>142875</xdr:rowOff>
        </xdr:from>
        <xdr:to>
          <xdr:col>1</xdr:col>
          <xdr:colOff>476250</xdr:colOff>
          <xdr:row>1</xdr:row>
          <xdr:rowOff>142875</xdr:rowOff>
        </xdr:to>
        <xdr:sp macro="" textlink="">
          <xdr:nvSpPr>
            <xdr:cNvPr id="9465" name="CommandButton12" hidden="1">
              <a:extLst>
                <a:ext uri="{63B3BB69-23CF-44E3-9099-C40C66FF867C}">
                  <a14:compatExt spid="_x0000_s9465"/>
                </a:ext>
                <a:ext uri="{FF2B5EF4-FFF2-40B4-BE49-F238E27FC236}">
                  <a16:creationId xmlns:a16="http://schemas.microsoft.com/office/drawing/2014/main" id="{00000000-0008-0000-0100-0000F9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36</xdr:row>
          <xdr:rowOff>9525</xdr:rowOff>
        </xdr:from>
        <xdr:to>
          <xdr:col>1</xdr:col>
          <xdr:colOff>0</xdr:colOff>
          <xdr:row>37</xdr:row>
          <xdr:rowOff>9525</xdr:rowOff>
        </xdr:to>
        <xdr:sp macro="" textlink="">
          <xdr:nvSpPr>
            <xdr:cNvPr id="9749" name="PurchasedGases" hidden="1">
              <a:extLst>
                <a:ext uri="{63B3BB69-23CF-44E3-9099-C40C66FF867C}">
                  <a14:compatExt spid="_x0000_s9749"/>
                </a:ext>
                <a:ext uri="{FF2B5EF4-FFF2-40B4-BE49-F238E27FC236}">
                  <a16:creationId xmlns:a16="http://schemas.microsoft.com/office/drawing/2014/main" id="{00000000-0008-0000-0100-0000152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19050</xdr:colOff>
      <xdr:row>0</xdr:row>
      <xdr:rowOff>85725</xdr:rowOff>
    </xdr:from>
    <xdr:to>
      <xdr:col>6</xdr:col>
      <xdr:colOff>104775</xdr:colOff>
      <xdr:row>2</xdr:row>
      <xdr:rowOff>9525</xdr:rowOff>
    </xdr:to>
    <xdr:pic>
      <xdr:nvPicPr>
        <xdr:cNvPr id="10219" name="Picture 15">
          <a:extLst>
            <a:ext uri="{FF2B5EF4-FFF2-40B4-BE49-F238E27FC236}">
              <a16:creationId xmlns:a16="http://schemas.microsoft.com/office/drawing/2014/main" id="{00000000-0008-0000-0100-0000EB27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3000375" y="85725"/>
          <a:ext cx="211455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43</xdr:row>
          <xdr:rowOff>0</xdr:rowOff>
        </xdr:from>
        <xdr:to>
          <xdr:col>1</xdr:col>
          <xdr:colOff>0</xdr:colOff>
          <xdr:row>43</xdr:row>
          <xdr:rowOff>257175</xdr:rowOff>
        </xdr:to>
        <xdr:sp macro="" textlink="">
          <xdr:nvSpPr>
            <xdr:cNvPr id="10092" name="Electricity" hidden="1">
              <a:extLst>
                <a:ext uri="{63B3BB69-23CF-44E3-9099-C40C66FF867C}">
                  <a14:compatExt spid="_x0000_s10092"/>
                </a:ext>
                <a:ext uri="{FF2B5EF4-FFF2-40B4-BE49-F238E27FC236}">
                  <a16:creationId xmlns:a16="http://schemas.microsoft.com/office/drawing/2014/main" id="{00000000-0008-0000-0100-00006C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247650</xdr:rowOff>
        </xdr:from>
        <xdr:to>
          <xdr:col>1</xdr:col>
          <xdr:colOff>0</xdr:colOff>
          <xdr:row>44</xdr:row>
          <xdr:rowOff>247650</xdr:rowOff>
        </xdr:to>
        <xdr:sp macro="" textlink="">
          <xdr:nvSpPr>
            <xdr:cNvPr id="10093" name="Steam" hidden="1">
              <a:extLst>
                <a:ext uri="{63B3BB69-23CF-44E3-9099-C40C66FF867C}">
                  <a14:compatExt spid="_x0000_s10093"/>
                </a:ext>
                <a:ext uri="{FF2B5EF4-FFF2-40B4-BE49-F238E27FC236}">
                  <a16:creationId xmlns:a16="http://schemas.microsoft.com/office/drawing/2014/main" id="{00000000-0008-0000-0100-00006D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58</xdr:row>
          <xdr:rowOff>9525</xdr:rowOff>
        </xdr:from>
        <xdr:to>
          <xdr:col>1</xdr:col>
          <xdr:colOff>0</xdr:colOff>
          <xdr:row>59</xdr:row>
          <xdr:rowOff>9525</xdr:rowOff>
        </xdr:to>
        <xdr:sp macro="" textlink="">
          <xdr:nvSpPr>
            <xdr:cNvPr id="10094" name="Commuting" hidden="1">
              <a:extLst>
                <a:ext uri="{63B3BB69-23CF-44E3-9099-C40C66FF867C}">
                  <a14:compatExt spid="_x0000_s10094"/>
                </a:ext>
                <a:ext uri="{FF2B5EF4-FFF2-40B4-BE49-F238E27FC236}">
                  <a16:creationId xmlns:a16="http://schemas.microsoft.com/office/drawing/2014/main" id="{00000000-0008-0000-0100-00006E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59</xdr:row>
          <xdr:rowOff>19050</xdr:rowOff>
        </xdr:from>
        <xdr:to>
          <xdr:col>1</xdr:col>
          <xdr:colOff>0</xdr:colOff>
          <xdr:row>60</xdr:row>
          <xdr:rowOff>19050</xdr:rowOff>
        </xdr:to>
        <xdr:sp macro="" textlink="">
          <xdr:nvSpPr>
            <xdr:cNvPr id="10095" name="ProdTransport" hidden="1">
              <a:extLst>
                <a:ext uri="{63B3BB69-23CF-44E3-9099-C40C66FF867C}">
                  <a14:compatExt spid="_x0000_s10095"/>
                </a:ext>
                <a:ext uri="{FF2B5EF4-FFF2-40B4-BE49-F238E27FC236}">
                  <a16:creationId xmlns:a16="http://schemas.microsoft.com/office/drawing/2014/main" id="{00000000-0008-0000-0100-00006F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63</xdr:row>
          <xdr:rowOff>9525</xdr:rowOff>
        </xdr:from>
        <xdr:to>
          <xdr:col>1</xdr:col>
          <xdr:colOff>0</xdr:colOff>
          <xdr:row>64</xdr:row>
          <xdr:rowOff>9525</xdr:rowOff>
        </xdr:to>
        <xdr:sp macro="" textlink="">
          <xdr:nvSpPr>
            <xdr:cNvPr id="10096" name="CommandButton1" hidden="1">
              <a:extLst>
                <a:ext uri="{63B3BB69-23CF-44E3-9099-C40C66FF867C}">
                  <a14:compatExt spid="_x0000_s10096"/>
                </a:ext>
                <a:ext uri="{FF2B5EF4-FFF2-40B4-BE49-F238E27FC236}">
                  <a16:creationId xmlns:a16="http://schemas.microsoft.com/office/drawing/2014/main" id="{00000000-0008-0000-0100-000070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0</xdr:rowOff>
        </xdr:from>
        <xdr:to>
          <xdr:col>1</xdr:col>
          <xdr:colOff>0</xdr:colOff>
          <xdr:row>65</xdr:row>
          <xdr:rowOff>0</xdr:rowOff>
        </xdr:to>
        <xdr:sp macro="" textlink="">
          <xdr:nvSpPr>
            <xdr:cNvPr id="10097" name="CommandButton2" hidden="1">
              <a:extLst>
                <a:ext uri="{63B3BB69-23CF-44E3-9099-C40C66FF867C}">
                  <a14:compatExt spid="_x0000_s10097"/>
                </a:ext>
                <a:ext uri="{FF2B5EF4-FFF2-40B4-BE49-F238E27FC236}">
                  <a16:creationId xmlns:a16="http://schemas.microsoft.com/office/drawing/2014/main" id="{00000000-0008-0000-0100-000071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60</xdr:row>
          <xdr:rowOff>19050</xdr:rowOff>
        </xdr:from>
        <xdr:to>
          <xdr:col>1</xdr:col>
          <xdr:colOff>9525</xdr:colOff>
          <xdr:row>61</xdr:row>
          <xdr:rowOff>19050</xdr:rowOff>
        </xdr:to>
        <xdr:sp macro="" textlink="">
          <xdr:nvSpPr>
            <xdr:cNvPr id="10098" name="CommandButton3" hidden="1">
              <a:extLst>
                <a:ext uri="{63B3BB69-23CF-44E3-9099-C40C66FF867C}">
                  <a14:compatExt spid="_x0000_s10098"/>
                </a:ext>
                <a:ext uri="{FF2B5EF4-FFF2-40B4-BE49-F238E27FC236}">
                  <a16:creationId xmlns:a16="http://schemas.microsoft.com/office/drawing/2014/main" id="{00000000-0008-0000-0100-0000722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4033" name="CommandButton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0</xdr:row>
          <xdr:rowOff>276225</xdr:rowOff>
        </xdr:from>
        <xdr:to>
          <xdr:col>5</xdr:col>
          <xdr:colOff>171450</xdr:colOff>
          <xdr:row>1</xdr:row>
          <xdr:rowOff>209550</xdr:rowOff>
        </xdr:to>
        <xdr:sp macro="" textlink="">
          <xdr:nvSpPr>
            <xdr:cNvPr id="44065" name="Button 33" hidden="1">
              <a:extLst>
                <a:ext uri="{63B3BB69-23CF-44E3-9099-C40C66FF867C}">
                  <a14:compatExt spid="_x0000_s44065"/>
                </a:ext>
                <a:ext uri="{FF2B5EF4-FFF2-40B4-BE49-F238E27FC236}">
                  <a16:creationId xmlns:a16="http://schemas.microsoft.com/office/drawing/2014/main" id="{00000000-0008-0000-1400-000021AC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Data Entry Sheet</a:t>
              </a:r>
            </a:p>
          </xdr:txBody>
        </xdr:sp>
        <xdr:clientData fPrintsWithSheet="0"/>
      </xdr:twoCellAnchor>
    </mc:Choice>
    <mc:Fallback/>
  </mc:AlternateContent>
  <xdr:twoCellAnchor editAs="oneCell">
    <xdr:from>
      <xdr:col>5</xdr:col>
      <xdr:colOff>38100</xdr:colOff>
      <xdr:row>2</xdr:row>
      <xdr:rowOff>57150</xdr:rowOff>
    </xdr:from>
    <xdr:to>
      <xdr:col>5</xdr:col>
      <xdr:colOff>2219325</xdr:colOff>
      <xdr:row>5</xdr:row>
      <xdr:rowOff>95250</xdr:rowOff>
    </xdr:to>
    <xdr:pic>
      <xdr:nvPicPr>
        <xdr:cNvPr id="44688" name="Picture 4">
          <a:extLst>
            <a:ext uri="{FF2B5EF4-FFF2-40B4-BE49-F238E27FC236}">
              <a16:creationId xmlns:a16="http://schemas.microsoft.com/office/drawing/2014/main" id="{00000000-0008-0000-1400-000090A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7325" y="590550"/>
          <a:ext cx="2181225"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3793" name="CommandButton1" hidden="1">
              <a:extLst>
                <a:ext uri="{63B3BB69-23CF-44E3-9099-C40C66FF867C}">
                  <a14:compatExt spid="_x0000_s33793"/>
                </a:ext>
                <a:ext uri="{FF2B5EF4-FFF2-40B4-BE49-F238E27FC236}">
                  <a16:creationId xmlns:a16="http://schemas.microsoft.com/office/drawing/2014/main" id="{00000000-0008-0000-15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3794" name="CommandButton2" hidden="1">
              <a:extLst>
                <a:ext uri="{63B3BB69-23CF-44E3-9099-C40C66FF867C}">
                  <a14:compatExt spid="_x0000_s33794"/>
                </a:ext>
                <a:ext uri="{FF2B5EF4-FFF2-40B4-BE49-F238E27FC236}">
                  <a16:creationId xmlns:a16="http://schemas.microsoft.com/office/drawing/2014/main" id="{00000000-0008-0000-1500-000002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3</xdr:col>
          <xdr:colOff>895350</xdr:colOff>
          <xdr:row>1</xdr:row>
          <xdr:rowOff>133350</xdr:rowOff>
        </xdr:to>
        <xdr:sp macro="" textlink="">
          <xdr:nvSpPr>
            <xdr:cNvPr id="33795" name="CommandButton4" hidden="1">
              <a:extLst>
                <a:ext uri="{63B3BB69-23CF-44E3-9099-C40C66FF867C}">
                  <a14:compatExt spid="_x0000_s33795"/>
                </a:ext>
                <a:ext uri="{FF2B5EF4-FFF2-40B4-BE49-F238E27FC236}">
                  <a16:creationId xmlns:a16="http://schemas.microsoft.com/office/drawing/2014/main" id="{00000000-0008-0000-1500-000003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104775</xdr:colOff>
      <xdr:row>0</xdr:row>
      <xdr:rowOff>104775</xdr:rowOff>
    </xdr:from>
    <xdr:to>
      <xdr:col>5</xdr:col>
      <xdr:colOff>923925</xdr:colOff>
      <xdr:row>1</xdr:row>
      <xdr:rowOff>266700</xdr:rowOff>
    </xdr:to>
    <xdr:pic>
      <xdr:nvPicPr>
        <xdr:cNvPr id="34493" name="Picture 5">
          <a:extLst>
            <a:ext uri="{FF2B5EF4-FFF2-40B4-BE49-F238E27FC236}">
              <a16:creationId xmlns:a16="http://schemas.microsoft.com/office/drawing/2014/main" id="{00000000-0008-0000-1500-0000BD8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81575" y="1047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4817" name="CommandButton1" hidden="1">
              <a:extLst>
                <a:ext uri="{63B3BB69-23CF-44E3-9099-C40C66FF867C}">
                  <a14:compatExt spid="_x0000_s34817"/>
                </a:ext>
                <a:ext uri="{FF2B5EF4-FFF2-40B4-BE49-F238E27FC236}">
                  <a16:creationId xmlns:a16="http://schemas.microsoft.com/office/drawing/2014/main" id="{00000000-0008-0000-1600-000001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4818" name="CommandButton2" hidden="1">
              <a:extLst>
                <a:ext uri="{63B3BB69-23CF-44E3-9099-C40C66FF867C}">
                  <a14:compatExt spid="_x0000_s34818"/>
                </a:ext>
                <a:ext uri="{FF2B5EF4-FFF2-40B4-BE49-F238E27FC236}">
                  <a16:creationId xmlns:a16="http://schemas.microsoft.com/office/drawing/2014/main" id="{00000000-0008-0000-1600-0000028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285750</xdr:colOff>
      <xdr:row>1</xdr:row>
      <xdr:rowOff>0</xdr:rowOff>
    </xdr:from>
    <xdr:to>
      <xdr:col>5</xdr:col>
      <xdr:colOff>9525</xdr:colOff>
      <xdr:row>2</xdr:row>
      <xdr:rowOff>161925</xdr:rowOff>
    </xdr:to>
    <xdr:pic>
      <xdr:nvPicPr>
        <xdr:cNvPr id="35517" name="Picture 4">
          <a:extLst>
            <a:ext uri="{FF2B5EF4-FFF2-40B4-BE49-F238E27FC236}">
              <a16:creationId xmlns:a16="http://schemas.microsoft.com/office/drawing/2014/main" id="{00000000-0008-0000-1600-0000BD8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9587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5841" name="CommandButton1" hidden="1">
              <a:extLst>
                <a:ext uri="{63B3BB69-23CF-44E3-9099-C40C66FF867C}">
                  <a14:compatExt spid="_x0000_s35841"/>
                </a:ext>
                <a:ext uri="{FF2B5EF4-FFF2-40B4-BE49-F238E27FC236}">
                  <a16:creationId xmlns:a16="http://schemas.microsoft.com/office/drawing/2014/main" id="{00000000-0008-0000-1700-000001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5842" name="CommandButton2" hidden="1">
              <a:extLst>
                <a:ext uri="{63B3BB69-23CF-44E3-9099-C40C66FF867C}">
                  <a14:compatExt spid="_x0000_s35842"/>
                </a:ext>
                <a:ext uri="{FF2B5EF4-FFF2-40B4-BE49-F238E27FC236}">
                  <a16:creationId xmlns:a16="http://schemas.microsoft.com/office/drawing/2014/main" id="{00000000-0008-0000-1700-0000028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247650</xdr:colOff>
      <xdr:row>0</xdr:row>
      <xdr:rowOff>76200</xdr:rowOff>
    </xdr:from>
    <xdr:to>
      <xdr:col>4</xdr:col>
      <xdr:colOff>1019175</xdr:colOff>
      <xdr:row>1</xdr:row>
      <xdr:rowOff>238125</xdr:rowOff>
    </xdr:to>
    <xdr:pic>
      <xdr:nvPicPr>
        <xdr:cNvPr id="36540" name="Picture 4">
          <a:extLst>
            <a:ext uri="{FF2B5EF4-FFF2-40B4-BE49-F238E27FC236}">
              <a16:creationId xmlns:a16="http://schemas.microsoft.com/office/drawing/2014/main" id="{00000000-0008-0000-1700-0000BC8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57775"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6865" name="CommandButton1" hidden="1">
              <a:extLst>
                <a:ext uri="{63B3BB69-23CF-44E3-9099-C40C66FF867C}">
                  <a14:compatExt spid="_x0000_s36865"/>
                </a:ext>
                <a:ext uri="{FF2B5EF4-FFF2-40B4-BE49-F238E27FC236}">
                  <a16:creationId xmlns:a16="http://schemas.microsoft.com/office/drawing/2014/main" id="{00000000-0008-0000-18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6866" name="CommandButton2" hidden="1">
              <a:extLst>
                <a:ext uri="{63B3BB69-23CF-44E3-9099-C40C66FF867C}">
                  <a14:compatExt spid="_x0000_s36866"/>
                </a:ext>
                <a:ext uri="{FF2B5EF4-FFF2-40B4-BE49-F238E27FC236}">
                  <a16:creationId xmlns:a16="http://schemas.microsoft.com/office/drawing/2014/main" id="{00000000-0008-0000-18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228600</xdr:colOff>
      <xdr:row>0</xdr:row>
      <xdr:rowOff>95250</xdr:rowOff>
    </xdr:from>
    <xdr:to>
      <xdr:col>4</xdr:col>
      <xdr:colOff>990600</xdr:colOff>
      <xdr:row>1</xdr:row>
      <xdr:rowOff>257175</xdr:rowOff>
    </xdr:to>
    <xdr:pic>
      <xdr:nvPicPr>
        <xdr:cNvPr id="37564" name="Picture 4">
          <a:extLst>
            <a:ext uri="{FF2B5EF4-FFF2-40B4-BE49-F238E27FC236}">
              <a16:creationId xmlns:a16="http://schemas.microsoft.com/office/drawing/2014/main" id="{00000000-0008-0000-1800-0000BC9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3872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6081" name="CommandButton1" hidden="1">
              <a:extLst>
                <a:ext uri="{63B3BB69-23CF-44E3-9099-C40C66FF867C}">
                  <a14:compatExt spid="_x0000_s46081"/>
                </a:ext>
                <a:ext uri="{FF2B5EF4-FFF2-40B4-BE49-F238E27FC236}">
                  <a16:creationId xmlns:a16="http://schemas.microsoft.com/office/drawing/2014/main" id="{00000000-0008-0000-1900-000001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6082" name="CommandButton2" hidden="1">
              <a:extLst>
                <a:ext uri="{63B3BB69-23CF-44E3-9099-C40C66FF867C}">
                  <a14:compatExt spid="_x0000_s46082"/>
                </a:ext>
                <a:ext uri="{FF2B5EF4-FFF2-40B4-BE49-F238E27FC236}">
                  <a16:creationId xmlns:a16="http://schemas.microsoft.com/office/drawing/2014/main" id="{00000000-0008-0000-1900-000002B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257175</xdr:colOff>
      <xdr:row>0</xdr:row>
      <xdr:rowOff>28575</xdr:rowOff>
    </xdr:from>
    <xdr:to>
      <xdr:col>4</xdr:col>
      <xdr:colOff>1019175</xdr:colOff>
      <xdr:row>1</xdr:row>
      <xdr:rowOff>190500</xdr:rowOff>
    </xdr:to>
    <xdr:pic>
      <xdr:nvPicPr>
        <xdr:cNvPr id="46724" name="Picture 5">
          <a:extLst>
            <a:ext uri="{FF2B5EF4-FFF2-40B4-BE49-F238E27FC236}">
              <a16:creationId xmlns:a16="http://schemas.microsoft.com/office/drawing/2014/main" id="{00000000-0008-0000-1900-000084B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67300" y="285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7889" name="CommandButton1" hidden="1">
              <a:extLst>
                <a:ext uri="{63B3BB69-23CF-44E3-9099-C40C66FF867C}">
                  <a14:compatExt spid="_x0000_s37889"/>
                </a:ext>
                <a:ext uri="{FF2B5EF4-FFF2-40B4-BE49-F238E27FC236}">
                  <a16:creationId xmlns:a16="http://schemas.microsoft.com/office/drawing/2014/main" id="{00000000-0008-0000-1A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7890" name="CommandButton2" hidden="1">
              <a:extLst>
                <a:ext uri="{63B3BB69-23CF-44E3-9099-C40C66FF867C}">
                  <a14:compatExt spid="_x0000_s37890"/>
                </a:ext>
                <a:ext uri="{FF2B5EF4-FFF2-40B4-BE49-F238E27FC236}">
                  <a16:creationId xmlns:a16="http://schemas.microsoft.com/office/drawing/2014/main" id="{00000000-0008-0000-1A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238125</xdr:colOff>
      <xdr:row>0</xdr:row>
      <xdr:rowOff>66675</xdr:rowOff>
    </xdr:from>
    <xdr:to>
      <xdr:col>4</xdr:col>
      <xdr:colOff>1000125</xdr:colOff>
      <xdr:row>1</xdr:row>
      <xdr:rowOff>228600</xdr:rowOff>
    </xdr:to>
    <xdr:pic>
      <xdr:nvPicPr>
        <xdr:cNvPr id="38588" name="Picture 4">
          <a:extLst>
            <a:ext uri="{FF2B5EF4-FFF2-40B4-BE49-F238E27FC236}">
              <a16:creationId xmlns:a16="http://schemas.microsoft.com/office/drawing/2014/main" id="{00000000-0008-0000-1A00-0000BC9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48250" y="66675"/>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8913" name="CommandButton1" hidden="1">
              <a:extLst>
                <a:ext uri="{63B3BB69-23CF-44E3-9099-C40C66FF867C}">
                  <a14:compatExt spid="_x0000_s38913"/>
                </a:ext>
                <a:ext uri="{FF2B5EF4-FFF2-40B4-BE49-F238E27FC236}">
                  <a16:creationId xmlns:a16="http://schemas.microsoft.com/office/drawing/2014/main" id="{00000000-0008-0000-1B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8914" name="CommandButton2" hidden="1">
              <a:extLst>
                <a:ext uri="{63B3BB69-23CF-44E3-9099-C40C66FF867C}">
                  <a14:compatExt spid="_x0000_s38914"/>
                </a:ext>
                <a:ext uri="{FF2B5EF4-FFF2-40B4-BE49-F238E27FC236}">
                  <a16:creationId xmlns:a16="http://schemas.microsoft.com/office/drawing/2014/main" id="{00000000-0008-0000-1B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0</xdr:colOff>
      <xdr:row>1</xdr:row>
      <xdr:rowOff>0</xdr:rowOff>
    </xdr:from>
    <xdr:to>
      <xdr:col>7</xdr:col>
      <xdr:colOff>371475</xdr:colOff>
      <xdr:row>2</xdr:row>
      <xdr:rowOff>161925</xdr:rowOff>
    </xdr:to>
    <xdr:pic>
      <xdr:nvPicPr>
        <xdr:cNvPr id="39614" name="Picture 4">
          <a:extLst>
            <a:ext uri="{FF2B5EF4-FFF2-40B4-BE49-F238E27FC236}">
              <a16:creationId xmlns:a16="http://schemas.microsoft.com/office/drawing/2014/main" id="{00000000-0008-0000-1B00-0000BE9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981700"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xdr:col>
          <xdr:colOff>914400</xdr:colOff>
          <xdr:row>18</xdr:row>
          <xdr:rowOff>38100</xdr:rowOff>
        </xdr:from>
        <xdr:to>
          <xdr:col>2</xdr:col>
          <xdr:colOff>723900</xdr:colOff>
          <xdr:row>20</xdr:row>
          <xdr:rowOff>28575</xdr:rowOff>
        </xdr:to>
        <xdr:sp macro="" textlink="">
          <xdr:nvSpPr>
            <xdr:cNvPr id="39469" name="CommandButton3" hidden="1">
              <a:extLst>
                <a:ext uri="{63B3BB69-23CF-44E3-9099-C40C66FF867C}">
                  <a14:compatExt spid="_x0000_s39469"/>
                </a:ext>
                <a:ext uri="{FF2B5EF4-FFF2-40B4-BE49-F238E27FC236}">
                  <a16:creationId xmlns:a16="http://schemas.microsoft.com/office/drawing/2014/main" id="{00000000-0008-0000-1B00-00002D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438150</xdr:colOff>
          <xdr:row>0</xdr:row>
          <xdr:rowOff>142875</xdr:rowOff>
        </xdr:from>
        <xdr:to>
          <xdr:col>4</xdr:col>
          <xdr:colOff>438150</xdr:colOff>
          <xdr:row>1</xdr:row>
          <xdr:rowOff>142875</xdr:rowOff>
        </xdr:to>
        <xdr:sp macro="" textlink="">
          <xdr:nvSpPr>
            <xdr:cNvPr id="39507" name="CommandButton4" hidden="1">
              <a:extLst>
                <a:ext uri="{63B3BB69-23CF-44E3-9099-C40C66FF867C}">
                  <a14:compatExt spid="_x0000_s39507"/>
                </a:ext>
                <a:ext uri="{FF2B5EF4-FFF2-40B4-BE49-F238E27FC236}">
                  <a16:creationId xmlns:a16="http://schemas.microsoft.com/office/drawing/2014/main" id="{00000000-0008-0000-1B00-0000539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600075</xdr:colOff>
          <xdr:row>0</xdr:row>
          <xdr:rowOff>238125</xdr:rowOff>
        </xdr:from>
        <xdr:to>
          <xdr:col>1</xdr:col>
          <xdr:colOff>866775</xdr:colOff>
          <xdr:row>1</xdr:row>
          <xdr:rowOff>238125</xdr:rowOff>
        </xdr:to>
        <xdr:sp macro="" textlink="">
          <xdr:nvSpPr>
            <xdr:cNvPr id="32769" name="CommandButton1" hidden="1">
              <a:extLst>
                <a:ext uri="{63B3BB69-23CF-44E3-9099-C40C66FF867C}">
                  <a14:compatExt spid="_x0000_s32769"/>
                </a:ext>
                <a:ext uri="{FF2B5EF4-FFF2-40B4-BE49-F238E27FC236}">
                  <a16:creationId xmlns:a16="http://schemas.microsoft.com/office/drawing/2014/main" id="{00000000-0008-0000-1C00-000001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1066800</xdr:colOff>
          <xdr:row>0</xdr:row>
          <xdr:rowOff>228600</xdr:rowOff>
        </xdr:from>
        <xdr:to>
          <xdr:col>3</xdr:col>
          <xdr:colOff>228600</xdr:colOff>
          <xdr:row>1</xdr:row>
          <xdr:rowOff>228600</xdr:rowOff>
        </xdr:to>
        <xdr:sp macro="" textlink="">
          <xdr:nvSpPr>
            <xdr:cNvPr id="32770" name="CommandButton2" hidden="1">
              <a:extLst>
                <a:ext uri="{63B3BB69-23CF-44E3-9099-C40C66FF867C}">
                  <a14:compatExt spid="_x0000_s32770"/>
                </a:ext>
                <a:ext uri="{FF2B5EF4-FFF2-40B4-BE49-F238E27FC236}">
                  <a16:creationId xmlns:a16="http://schemas.microsoft.com/office/drawing/2014/main" id="{00000000-0008-0000-1C00-0000028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8</xdr:col>
      <xdr:colOff>0</xdr:colOff>
      <xdr:row>1</xdr:row>
      <xdr:rowOff>0</xdr:rowOff>
    </xdr:from>
    <xdr:to>
      <xdr:col>10</xdr:col>
      <xdr:colOff>171450</xdr:colOff>
      <xdr:row>2</xdr:row>
      <xdr:rowOff>161925</xdr:rowOff>
    </xdr:to>
    <xdr:pic>
      <xdr:nvPicPr>
        <xdr:cNvPr id="33481" name="Picture 4">
          <a:extLst>
            <a:ext uri="{FF2B5EF4-FFF2-40B4-BE49-F238E27FC236}">
              <a16:creationId xmlns:a16="http://schemas.microsoft.com/office/drawing/2014/main" id="{00000000-0008-0000-1C00-0000C98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8315325" y="3143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352425</xdr:colOff>
          <xdr:row>0</xdr:row>
          <xdr:rowOff>228600</xdr:rowOff>
        </xdr:from>
        <xdr:to>
          <xdr:col>3</xdr:col>
          <xdr:colOff>1647825</xdr:colOff>
          <xdr:row>1</xdr:row>
          <xdr:rowOff>228600</xdr:rowOff>
        </xdr:to>
        <xdr:sp macro="" textlink="">
          <xdr:nvSpPr>
            <xdr:cNvPr id="33326" name="CommandButton3" hidden="1">
              <a:extLst>
                <a:ext uri="{63B3BB69-23CF-44E3-9099-C40C66FF867C}">
                  <a14:compatExt spid="_x0000_s33326"/>
                </a:ext>
                <a:ext uri="{FF2B5EF4-FFF2-40B4-BE49-F238E27FC236}">
                  <a16:creationId xmlns:a16="http://schemas.microsoft.com/office/drawing/2014/main" id="{00000000-0008-0000-1C00-00002E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xdr:col>
          <xdr:colOff>47625</xdr:colOff>
          <xdr:row>0</xdr:row>
          <xdr:rowOff>228600</xdr:rowOff>
        </xdr:from>
        <xdr:to>
          <xdr:col>5</xdr:col>
          <xdr:colOff>400050</xdr:colOff>
          <xdr:row>1</xdr:row>
          <xdr:rowOff>228600</xdr:rowOff>
        </xdr:to>
        <xdr:sp macro="" textlink="">
          <xdr:nvSpPr>
            <xdr:cNvPr id="33444" name="CommandButton4" hidden="1">
              <a:extLst>
                <a:ext uri="{63B3BB69-23CF-44E3-9099-C40C66FF867C}">
                  <a14:compatExt spid="_x0000_s33444"/>
                </a:ext>
                <a:ext uri="{FF2B5EF4-FFF2-40B4-BE49-F238E27FC236}">
                  <a16:creationId xmlns:a16="http://schemas.microsoft.com/office/drawing/2014/main" id="{00000000-0008-0000-1C00-0000A4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523875</xdr:colOff>
          <xdr:row>0</xdr:row>
          <xdr:rowOff>228600</xdr:rowOff>
        </xdr:from>
        <xdr:to>
          <xdr:col>6</xdr:col>
          <xdr:colOff>866775</xdr:colOff>
          <xdr:row>1</xdr:row>
          <xdr:rowOff>228600</xdr:rowOff>
        </xdr:to>
        <xdr:sp macro="" textlink="">
          <xdr:nvSpPr>
            <xdr:cNvPr id="33445" name="CommandButton5" hidden="1">
              <a:extLst>
                <a:ext uri="{63B3BB69-23CF-44E3-9099-C40C66FF867C}">
                  <a14:compatExt spid="_x0000_s33445"/>
                </a:ext>
                <a:ext uri="{FF2B5EF4-FFF2-40B4-BE49-F238E27FC236}">
                  <a16:creationId xmlns:a16="http://schemas.microsoft.com/office/drawing/2014/main" id="{00000000-0008-0000-1C00-0000A58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9937" name="CommandButton1" hidden="1">
              <a:extLst>
                <a:ext uri="{63B3BB69-23CF-44E3-9099-C40C66FF867C}">
                  <a14:compatExt spid="_x0000_s39937"/>
                </a:ext>
                <a:ext uri="{FF2B5EF4-FFF2-40B4-BE49-F238E27FC236}">
                  <a16:creationId xmlns:a16="http://schemas.microsoft.com/office/drawing/2014/main" id="{00000000-0008-0000-1D00-000001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9938" name="CommandButton2" hidden="1">
              <a:extLst>
                <a:ext uri="{63B3BB69-23CF-44E3-9099-C40C66FF867C}">
                  <a14:compatExt spid="_x0000_s39938"/>
                </a:ext>
                <a:ext uri="{FF2B5EF4-FFF2-40B4-BE49-F238E27FC236}">
                  <a16:creationId xmlns:a16="http://schemas.microsoft.com/office/drawing/2014/main" id="{00000000-0008-0000-1D00-000002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2</xdr:col>
          <xdr:colOff>1885950</xdr:colOff>
          <xdr:row>1</xdr:row>
          <xdr:rowOff>133350</xdr:rowOff>
        </xdr:to>
        <xdr:sp macro="" textlink="">
          <xdr:nvSpPr>
            <xdr:cNvPr id="40045" name="CommandButton3" hidden="1">
              <a:extLst>
                <a:ext uri="{63B3BB69-23CF-44E3-9099-C40C66FF867C}">
                  <a14:compatExt spid="_x0000_s40045"/>
                </a:ext>
                <a:ext uri="{FF2B5EF4-FFF2-40B4-BE49-F238E27FC236}">
                  <a16:creationId xmlns:a16="http://schemas.microsoft.com/office/drawing/2014/main" id="{00000000-0008-0000-1D00-00006D9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628650</xdr:colOff>
      <xdr:row>1</xdr:row>
      <xdr:rowOff>142875</xdr:rowOff>
    </xdr:from>
    <xdr:to>
      <xdr:col>5</xdr:col>
      <xdr:colOff>342900</xdr:colOff>
      <xdr:row>3</xdr:row>
      <xdr:rowOff>114300</xdr:rowOff>
    </xdr:to>
    <xdr:pic>
      <xdr:nvPicPr>
        <xdr:cNvPr id="40639" name="Picture 5">
          <a:extLst>
            <a:ext uri="{FF2B5EF4-FFF2-40B4-BE49-F238E27FC236}">
              <a16:creationId xmlns:a16="http://schemas.microsoft.com/office/drawing/2014/main" id="{00000000-0008-0000-1D00-0000BF9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438775" y="45720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47625</xdr:colOff>
          <xdr:row>0</xdr:row>
          <xdr:rowOff>123825</xdr:rowOff>
        </xdr:from>
        <xdr:to>
          <xdr:col>5</xdr:col>
          <xdr:colOff>9525</xdr:colOff>
          <xdr:row>1</xdr:row>
          <xdr:rowOff>123825</xdr:rowOff>
        </xdr:to>
        <xdr:sp macro="" textlink="">
          <xdr:nvSpPr>
            <xdr:cNvPr id="40624" name="CommandButton4" hidden="1">
              <a:extLst>
                <a:ext uri="{63B3BB69-23CF-44E3-9099-C40C66FF867C}">
                  <a14:compatExt spid="_x0000_s40624"/>
                </a:ext>
                <a:ext uri="{FF2B5EF4-FFF2-40B4-BE49-F238E27FC236}">
                  <a16:creationId xmlns:a16="http://schemas.microsoft.com/office/drawing/2014/main" id="{00000000-0008-0000-1D00-0000B09E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104775</xdr:colOff>
          <xdr:row>0</xdr:row>
          <xdr:rowOff>142875</xdr:rowOff>
        </xdr:from>
        <xdr:to>
          <xdr:col>1</xdr:col>
          <xdr:colOff>1019175</xdr:colOff>
          <xdr:row>1</xdr:row>
          <xdr:rowOff>142875</xdr:rowOff>
        </xdr:to>
        <xdr:sp macro="" textlink="">
          <xdr:nvSpPr>
            <xdr:cNvPr id="30756" name="CommandButton1" hidden="1">
              <a:extLst>
                <a:ext uri="{63B3BB69-23CF-44E3-9099-C40C66FF867C}">
                  <a14:compatExt spid="_x0000_s30756"/>
                </a:ext>
                <a:ext uri="{FF2B5EF4-FFF2-40B4-BE49-F238E27FC236}">
                  <a16:creationId xmlns:a16="http://schemas.microsoft.com/office/drawing/2014/main" id="{00000000-0008-0000-0200-0000247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819150</xdr:colOff>
      <xdr:row>0</xdr:row>
      <xdr:rowOff>57150</xdr:rowOff>
    </xdr:from>
    <xdr:to>
      <xdr:col>6</xdr:col>
      <xdr:colOff>123825</xdr:colOff>
      <xdr:row>1</xdr:row>
      <xdr:rowOff>285750</xdr:rowOff>
    </xdr:to>
    <xdr:pic>
      <xdr:nvPicPr>
        <xdr:cNvPr id="31515" name="Picture 3">
          <a:extLst>
            <a:ext uri="{FF2B5EF4-FFF2-40B4-BE49-F238E27FC236}">
              <a16:creationId xmlns:a16="http://schemas.microsoft.com/office/drawing/2014/main" id="{00000000-0008-0000-0200-00001B7B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276725" y="57150"/>
          <a:ext cx="2076450"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0961" name="CommandButton1" hidden="1">
              <a:extLst>
                <a:ext uri="{63B3BB69-23CF-44E3-9099-C40C66FF867C}">
                  <a14:compatExt spid="_x0000_s40961"/>
                </a:ext>
                <a:ext uri="{FF2B5EF4-FFF2-40B4-BE49-F238E27FC236}">
                  <a16:creationId xmlns:a16="http://schemas.microsoft.com/office/drawing/2014/main" id="{00000000-0008-0000-1E00-000001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0962" name="CommandButton2" hidden="1">
              <a:extLst>
                <a:ext uri="{63B3BB69-23CF-44E3-9099-C40C66FF867C}">
                  <a14:compatExt spid="_x0000_s40962"/>
                </a:ext>
                <a:ext uri="{FF2B5EF4-FFF2-40B4-BE49-F238E27FC236}">
                  <a16:creationId xmlns:a16="http://schemas.microsoft.com/office/drawing/2014/main" id="{00000000-0008-0000-1E00-000002A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66675</xdr:rowOff>
    </xdr:from>
    <xdr:to>
      <xdr:col>4</xdr:col>
      <xdr:colOff>990600</xdr:colOff>
      <xdr:row>1</xdr:row>
      <xdr:rowOff>228600</xdr:rowOff>
    </xdr:to>
    <xdr:pic>
      <xdr:nvPicPr>
        <xdr:cNvPr id="41660" name="Picture 4">
          <a:extLst>
            <a:ext uri="{FF2B5EF4-FFF2-40B4-BE49-F238E27FC236}">
              <a16:creationId xmlns:a16="http://schemas.microsoft.com/office/drawing/2014/main" id="{00000000-0008-0000-1E00-0000BCA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666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1985" name="CommandButton1" hidden="1">
              <a:extLst>
                <a:ext uri="{63B3BB69-23CF-44E3-9099-C40C66FF867C}">
                  <a14:compatExt spid="_x0000_s41985"/>
                </a:ext>
                <a:ext uri="{FF2B5EF4-FFF2-40B4-BE49-F238E27FC236}">
                  <a16:creationId xmlns:a16="http://schemas.microsoft.com/office/drawing/2014/main" id="{00000000-0008-0000-1F00-000001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1986" name="CommandButton2" hidden="1">
              <a:extLst>
                <a:ext uri="{63B3BB69-23CF-44E3-9099-C40C66FF867C}">
                  <a14:compatExt spid="_x0000_s41986"/>
                </a:ext>
                <a:ext uri="{FF2B5EF4-FFF2-40B4-BE49-F238E27FC236}">
                  <a16:creationId xmlns:a16="http://schemas.microsoft.com/office/drawing/2014/main" id="{00000000-0008-0000-1F00-000002A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209550</xdr:colOff>
      <xdr:row>0</xdr:row>
      <xdr:rowOff>95250</xdr:rowOff>
    </xdr:from>
    <xdr:to>
      <xdr:col>4</xdr:col>
      <xdr:colOff>971550</xdr:colOff>
      <xdr:row>1</xdr:row>
      <xdr:rowOff>257175</xdr:rowOff>
    </xdr:to>
    <xdr:pic>
      <xdr:nvPicPr>
        <xdr:cNvPr id="42684" name="Picture 4">
          <a:extLst>
            <a:ext uri="{FF2B5EF4-FFF2-40B4-BE49-F238E27FC236}">
              <a16:creationId xmlns:a16="http://schemas.microsoft.com/office/drawing/2014/main" id="{00000000-0008-0000-1F00-0000BCA6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19675" y="95250"/>
          <a:ext cx="180975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43009" name="CommandButton1" hidden="1">
              <a:extLst>
                <a:ext uri="{63B3BB69-23CF-44E3-9099-C40C66FF867C}">
                  <a14:compatExt spid="_x0000_s43009"/>
                </a:ext>
                <a:ext uri="{FF2B5EF4-FFF2-40B4-BE49-F238E27FC236}">
                  <a16:creationId xmlns:a16="http://schemas.microsoft.com/office/drawing/2014/main" id="{00000000-0008-0000-2000-000001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43010" name="CommandButton2" hidden="1">
              <a:extLst>
                <a:ext uri="{63B3BB69-23CF-44E3-9099-C40C66FF867C}">
                  <a14:compatExt spid="_x0000_s43010"/>
                </a:ext>
                <a:ext uri="{FF2B5EF4-FFF2-40B4-BE49-F238E27FC236}">
                  <a16:creationId xmlns:a16="http://schemas.microsoft.com/office/drawing/2014/main" id="{00000000-0008-0000-2000-000002A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3708" name="Picture 4">
          <a:extLst>
            <a:ext uri="{FF2B5EF4-FFF2-40B4-BE49-F238E27FC236}">
              <a16:creationId xmlns:a16="http://schemas.microsoft.com/office/drawing/2014/main" id="{00000000-0008-0000-2000-0000BCAA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762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77825" name="CommandButton1" hidden="1">
              <a:extLst>
                <a:ext uri="{63B3BB69-23CF-44E3-9099-C40C66FF867C}">
                  <a14:compatExt spid="_x0000_s77825"/>
                </a:ext>
                <a:ext uri="{FF2B5EF4-FFF2-40B4-BE49-F238E27FC236}">
                  <a16:creationId xmlns:a16="http://schemas.microsoft.com/office/drawing/2014/main" id="{00000000-0008-0000-2100-000001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77826" name="CommandButton2" hidden="1">
              <a:extLst>
                <a:ext uri="{63B3BB69-23CF-44E3-9099-C40C66FF867C}">
                  <a14:compatExt spid="_x0000_s77826"/>
                </a:ext>
                <a:ext uri="{FF2B5EF4-FFF2-40B4-BE49-F238E27FC236}">
                  <a16:creationId xmlns:a16="http://schemas.microsoft.com/office/drawing/2014/main" id="{00000000-0008-0000-2100-000002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219075</xdr:colOff>
      <xdr:row>0</xdr:row>
      <xdr:rowOff>76200</xdr:rowOff>
    </xdr:from>
    <xdr:to>
      <xdr:col>4</xdr:col>
      <xdr:colOff>990600</xdr:colOff>
      <xdr:row>1</xdr:row>
      <xdr:rowOff>238125</xdr:rowOff>
    </xdr:to>
    <xdr:pic>
      <xdr:nvPicPr>
        <xdr:cNvPr id="4" name="Picture 4">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60975" y="76200"/>
          <a:ext cx="1870075" cy="479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628650</xdr:colOff>
          <xdr:row>0</xdr:row>
          <xdr:rowOff>142875</xdr:rowOff>
        </xdr:from>
        <xdr:to>
          <xdr:col>3</xdr:col>
          <xdr:colOff>9525</xdr:colOff>
          <xdr:row>1</xdr:row>
          <xdr:rowOff>142875</xdr:rowOff>
        </xdr:to>
        <xdr:sp macro="" textlink="">
          <xdr:nvSpPr>
            <xdr:cNvPr id="77827" name="CommandButton3" hidden="1">
              <a:extLst>
                <a:ext uri="{63B3BB69-23CF-44E3-9099-C40C66FF867C}">
                  <a14:compatExt spid="_x0000_s77827"/>
                </a:ext>
                <a:ext uri="{FF2B5EF4-FFF2-40B4-BE49-F238E27FC236}">
                  <a16:creationId xmlns:a16="http://schemas.microsoft.com/office/drawing/2014/main" id="{00000000-0008-0000-2100-0000033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31745" name="CommandButton1" hidden="1">
              <a:extLst>
                <a:ext uri="{63B3BB69-23CF-44E3-9099-C40C66FF867C}">
                  <a14:compatExt spid="_x0000_s31745"/>
                </a:ext>
                <a:ext uri="{FF2B5EF4-FFF2-40B4-BE49-F238E27FC236}">
                  <a16:creationId xmlns:a16="http://schemas.microsoft.com/office/drawing/2014/main" id="{00000000-0008-0000-2200-000001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31746" name="CommandButton2" hidden="1">
              <a:extLst>
                <a:ext uri="{63B3BB69-23CF-44E3-9099-C40C66FF867C}">
                  <a14:compatExt spid="_x0000_s31746"/>
                </a:ext>
                <a:ext uri="{FF2B5EF4-FFF2-40B4-BE49-F238E27FC236}">
                  <a16:creationId xmlns:a16="http://schemas.microsoft.com/office/drawing/2014/main" id="{00000000-0008-0000-2200-0000027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266700</xdr:colOff>
      <xdr:row>0</xdr:row>
      <xdr:rowOff>114300</xdr:rowOff>
    </xdr:from>
    <xdr:to>
      <xdr:col>4</xdr:col>
      <xdr:colOff>1038225</xdr:colOff>
      <xdr:row>1</xdr:row>
      <xdr:rowOff>276225</xdr:rowOff>
    </xdr:to>
    <xdr:pic>
      <xdr:nvPicPr>
        <xdr:cNvPr id="32445" name="Picture 4">
          <a:extLst>
            <a:ext uri="{FF2B5EF4-FFF2-40B4-BE49-F238E27FC236}">
              <a16:creationId xmlns:a16="http://schemas.microsoft.com/office/drawing/2014/main" id="{00000000-0008-0000-2200-0000BD7E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76825" y="11430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66675</xdr:colOff>
          <xdr:row>0</xdr:row>
          <xdr:rowOff>142875</xdr:rowOff>
        </xdr:from>
        <xdr:to>
          <xdr:col>1</xdr:col>
          <xdr:colOff>981075</xdr:colOff>
          <xdr:row>1</xdr:row>
          <xdr:rowOff>142875</xdr:rowOff>
        </xdr:to>
        <xdr:sp macro="" textlink="">
          <xdr:nvSpPr>
            <xdr:cNvPr id="11355" name="CommandButton1" hidden="1">
              <a:extLst>
                <a:ext uri="{63B3BB69-23CF-44E3-9099-C40C66FF867C}">
                  <a14:compatExt spid="_x0000_s11355"/>
                </a:ext>
                <a:ext uri="{FF2B5EF4-FFF2-40B4-BE49-F238E27FC236}">
                  <a16:creationId xmlns:a16="http://schemas.microsoft.com/office/drawing/2014/main" id="{00000000-0008-0000-0300-00005B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1181100</xdr:colOff>
          <xdr:row>0</xdr:row>
          <xdr:rowOff>133350</xdr:rowOff>
        </xdr:from>
        <xdr:to>
          <xdr:col>2</xdr:col>
          <xdr:colOff>228600</xdr:colOff>
          <xdr:row>1</xdr:row>
          <xdr:rowOff>133350</xdr:rowOff>
        </xdr:to>
        <xdr:sp macro="" textlink="">
          <xdr:nvSpPr>
            <xdr:cNvPr id="11356" name="CommandButton2" hidden="1">
              <a:extLst>
                <a:ext uri="{63B3BB69-23CF-44E3-9099-C40C66FF867C}">
                  <a14:compatExt spid="_x0000_s11356"/>
                </a:ext>
                <a:ext uri="{FF2B5EF4-FFF2-40B4-BE49-F238E27FC236}">
                  <a16:creationId xmlns:a16="http://schemas.microsoft.com/office/drawing/2014/main" id="{00000000-0008-0000-0300-00005C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1209675</xdr:colOff>
          <xdr:row>0</xdr:row>
          <xdr:rowOff>142875</xdr:rowOff>
        </xdr:from>
        <xdr:to>
          <xdr:col>4</xdr:col>
          <xdr:colOff>523875</xdr:colOff>
          <xdr:row>1</xdr:row>
          <xdr:rowOff>142875</xdr:rowOff>
        </xdr:to>
        <xdr:sp macro="" textlink="">
          <xdr:nvSpPr>
            <xdr:cNvPr id="11458" name="CommandButton3" hidden="1">
              <a:extLst>
                <a:ext uri="{63B3BB69-23CF-44E3-9099-C40C66FF867C}">
                  <a14:compatExt spid="_x0000_s11458"/>
                </a:ext>
                <a:ext uri="{FF2B5EF4-FFF2-40B4-BE49-F238E27FC236}">
                  <a16:creationId xmlns:a16="http://schemas.microsoft.com/office/drawing/2014/main" id="{00000000-0008-0000-0300-0000C2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666750</xdr:colOff>
          <xdr:row>0</xdr:row>
          <xdr:rowOff>142875</xdr:rowOff>
        </xdr:from>
        <xdr:to>
          <xdr:col>3</xdr:col>
          <xdr:colOff>695325</xdr:colOff>
          <xdr:row>1</xdr:row>
          <xdr:rowOff>142875</xdr:rowOff>
        </xdr:to>
        <xdr:sp macro="" textlink="">
          <xdr:nvSpPr>
            <xdr:cNvPr id="11477" name="CommandButton4" hidden="1">
              <a:extLst>
                <a:ext uri="{63B3BB69-23CF-44E3-9099-C40C66FF867C}">
                  <a14:compatExt spid="_x0000_s11477"/>
                </a:ext>
                <a:ext uri="{FF2B5EF4-FFF2-40B4-BE49-F238E27FC236}">
                  <a16:creationId xmlns:a16="http://schemas.microsoft.com/office/drawing/2014/main" id="{00000000-0008-0000-0300-0000D52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3</xdr:col>
      <xdr:colOff>1085850</xdr:colOff>
      <xdr:row>1</xdr:row>
      <xdr:rowOff>161925</xdr:rowOff>
    </xdr:from>
    <xdr:to>
      <xdr:col>5</xdr:col>
      <xdr:colOff>190500</xdr:colOff>
      <xdr:row>3</xdr:row>
      <xdr:rowOff>133350</xdr:rowOff>
    </xdr:to>
    <xdr:pic>
      <xdr:nvPicPr>
        <xdr:cNvPr id="58389" name="Picture 6">
          <a:extLst>
            <a:ext uri="{FF2B5EF4-FFF2-40B4-BE49-F238E27FC236}">
              <a16:creationId xmlns:a16="http://schemas.microsoft.com/office/drawing/2014/main" id="{00000000-0008-0000-0300-000015E4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476250"/>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752475</xdr:colOff>
          <xdr:row>0</xdr:row>
          <xdr:rowOff>142875</xdr:rowOff>
        </xdr:from>
        <xdr:to>
          <xdr:col>0</xdr:col>
          <xdr:colOff>1666875</xdr:colOff>
          <xdr:row>1</xdr:row>
          <xdr:rowOff>142875</xdr:rowOff>
        </xdr:to>
        <xdr:sp macro="" textlink="">
          <xdr:nvSpPr>
            <xdr:cNvPr id="13412" name="CommandButton1" hidden="1">
              <a:extLst>
                <a:ext uri="{63B3BB69-23CF-44E3-9099-C40C66FF867C}">
                  <a14:compatExt spid="_x0000_s13412"/>
                </a:ext>
                <a:ext uri="{FF2B5EF4-FFF2-40B4-BE49-F238E27FC236}">
                  <a16:creationId xmlns:a16="http://schemas.microsoft.com/office/drawing/2014/main" id="{00000000-0008-0000-0400-000064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0</xdr:col>
          <xdr:colOff>1857375</xdr:colOff>
          <xdr:row>0</xdr:row>
          <xdr:rowOff>133350</xdr:rowOff>
        </xdr:from>
        <xdr:to>
          <xdr:col>1</xdr:col>
          <xdr:colOff>1200150</xdr:colOff>
          <xdr:row>1</xdr:row>
          <xdr:rowOff>133350</xdr:rowOff>
        </xdr:to>
        <xdr:sp macro="" textlink="">
          <xdr:nvSpPr>
            <xdr:cNvPr id="13413" name="CommandButton2" hidden="1">
              <a:extLst>
                <a:ext uri="{63B3BB69-23CF-44E3-9099-C40C66FF867C}">
                  <a14:compatExt spid="_x0000_s13413"/>
                </a:ext>
                <a:ext uri="{FF2B5EF4-FFF2-40B4-BE49-F238E27FC236}">
                  <a16:creationId xmlns:a16="http://schemas.microsoft.com/office/drawing/2014/main" id="{00000000-0008-0000-0400-000065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0</xdr:row>
          <xdr:rowOff>142875</xdr:rowOff>
        </xdr:from>
        <xdr:to>
          <xdr:col>5</xdr:col>
          <xdr:colOff>295275</xdr:colOff>
          <xdr:row>1</xdr:row>
          <xdr:rowOff>133350</xdr:rowOff>
        </xdr:to>
        <xdr:sp macro="" textlink="">
          <xdr:nvSpPr>
            <xdr:cNvPr id="13523" name="CommandButton3" hidden="1">
              <a:extLst>
                <a:ext uri="{63B3BB69-23CF-44E3-9099-C40C66FF867C}">
                  <a14:compatExt spid="_x0000_s13523"/>
                </a:ext>
                <a:ext uri="{FF2B5EF4-FFF2-40B4-BE49-F238E27FC236}">
                  <a16:creationId xmlns:a16="http://schemas.microsoft.com/office/drawing/2014/main" id="{00000000-0008-0000-0400-0000D33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114300</xdr:colOff>
      <xdr:row>1</xdr:row>
      <xdr:rowOff>171450</xdr:rowOff>
    </xdr:from>
    <xdr:to>
      <xdr:col>6</xdr:col>
      <xdr:colOff>368300</xdr:colOff>
      <xdr:row>3</xdr:row>
      <xdr:rowOff>139700</xdr:rowOff>
    </xdr:to>
    <xdr:pic>
      <xdr:nvPicPr>
        <xdr:cNvPr id="56367" name="Picture 11">
          <a:extLst>
            <a:ext uri="{FF2B5EF4-FFF2-40B4-BE49-F238E27FC236}">
              <a16:creationId xmlns:a16="http://schemas.microsoft.com/office/drawing/2014/main" id="{00000000-0008-0000-0400-00002FDC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181600" y="48577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14415" name="CommandButton1"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47625</xdr:colOff>
          <xdr:row>1</xdr:row>
          <xdr:rowOff>133350</xdr:rowOff>
        </xdr:to>
        <xdr:sp macro="" textlink="">
          <xdr:nvSpPr>
            <xdr:cNvPr id="14416" name="CommandButton2"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57150</xdr:colOff>
          <xdr:row>1</xdr:row>
          <xdr:rowOff>133350</xdr:rowOff>
        </xdr:to>
        <xdr:sp macro="" textlink="">
          <xdr:nvSpPr>
            <xdr:cNvPr id="14518" name="CommandButton3" hidden="1">
              <a:extLst>
                <a:ext uri="{63B3BB69-23CF-44E3-9099-C40C66FF867C}">
                  <a14:compatExt spid="_x0000_s14518"/>
                </a:ext>
                <a:ext uri="{FF2B5EF4-FFF2-40B4-BE49-F238E27FC236}">
                  <a16:creationId xmlns:a16="http://schemas.microsoft.com/office/drawing/2014/main" id="{00000000-0008-0000-0500-0000B63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95250</xdr:colOff>
      <xdr:row>1</xdr:row>
      <xdr:rowOff>190500</xdr:rowOff>
    </xdr:from>
    <xdr:to>
      <xdr:col>7</xdr:col>
      <xdr:colOff>152400</xdr:colOff>
      <xdr:row>4</xdr:row>
      <xdr:rowOff>0</xdr:rowOff>
    </xdr:to>
    <xdr:pic>
      <xdr:nvPicPr>
        <xdr:cNvPr id="59400" name="Picture 5">
          <a:extLst>
            <a:ext uri="{FF2B5EF4-FFF2-40B4-BE49-F238E27FC236}">
              <a16:creationId xmlns:a16="http://schemas.microsoft.com/office/drawing/2014/main" id="{00000000-0008-0000-0500-000008E8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229225"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15430" name="CommandButton1"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247650</xdr:colOff>
          <xdr:row>1</xdr:row>
          <xdr:rowOff>133350</xdr:rowOff>
        </xdr:to>
        <xdr:sp macro="" textlink="">
          <xdr:nvSpPr>
            <xdr:cNvPr id="15431" name="CommandButton2"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314325</xdr:colOff>
          <xdr:row>0</xdr:row>
          <xdr:rowOff>142875</xdr:rowOff>
        </xdr:from>
        <xdr:to>
          <xdr:col>6</xdr:col>
          <xdr:colOff>266700</xdr:colOff>
          <xdr:row>1</xdr:row>
          <xdr:rowOff>133350</xdr:rowOff>
        </xdr:to>
        <xdr:sp macro="" textlink="">
          <xdr:nvSpPr>
            <xdr:cNvPr id="15531" name="CommandButton3" hidden="1">
              <a:extLst>
                <a:ext uri="{63B3BB69-23CF-44E3-9099-C40C66FF867C}">
                  <a14:compatExt spid="_x0000_s15531"/>
                </a:ext>
                <a:ext uri="{FF2B5EF4-FFF2-40B4-BE49-F238E27FC236}">
                  <a16:creationId xmlns:a16="http://schemas.microsoft.com/office/drawing/2014/main" id="{00000000-0008-0000-0600-0000AB3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228600</xdr:colOff>
      <xdr:row>1</xdr:row>
      <xdr:rowOff>161925</xdr:rowOff>
    </xdr:from>
    <xdr:to>
      <xdr:col>7</xdr:col>
      <xdr:colOff>247650</xdr:colOff>
      <xdr:row>3</xdr:row>
      <xdr:rowOff>104775</xdr:rowOff>
    </xdr:to>
    <xdr:pic>
      <xdr:nvPicPr>
        <xdr:cNvPr id="16357" name="Picture 5">
          <a:extLst>
            <a:ext uri="{FF2B5EF4-FFF2-40B4-BE49-F238E27FC236}">
              <a16:creationId xmlns:a16="http://schemas.microsoft.com/office/drawing/2014/main" id="{00000000-0008-0000-0600-0000E5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800600" y="476250"/>
          <a:ext cx="17145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1</xdr:col>
          <xdr:colOff>0</xdr:colOff>
          <xdr:row>0</xdr:row>
          <xdr:rowOff>142875</xdr:rowOff>
        </xdr:from>
        <xdr:to>
          <xdr:col>1</xdr:col>
          <xdr:colOff>914400</xdr:colOff>
          <xdr:row>1</xdr:row>
          <xdr:rowOff>142875</xdr:rowOff>
        </xdr:to>
        <xdr:sp macro="" textlink="">
          <xdr:nvSpPr>
            <xdr:cNvPr id="45057" name="CommandButton1" hidden="1">
              <a:extLst>
                <a:ext uri="{63B3BB69-23CF-44E3-9099-C40C66FF867C}">
                  <a14:compatExt spid="_x0000_s45057"/>
                </a:ext>
                <a:ext uri="{FF2B5EF4-FFF2-40B4-BE49-F238E27FC236}">
                  <a16:creationId xmlns:a16="http://schemas.microsoft.com/office/drawing/2014/main" id="{00000000-0008-0000-0700-000001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1114425</xdr:colOff>
          <xdr:row>0</xdr:row>
          <xdr:rowOff>133350</xdr:rowOff>
        </xdr:from>
        <xdr:to>
          <xdr:col>3</xdr:col>
          <xdr:colOff>47625</xdr:colOff>
          <xdr:row>1</xdr:row>
          <xdr:rowOff>133350</xdr:rowOff>
        </xdr:to>
        <xdr:sp macro="" textlink="">
          <xdr:nvSpPr>
            <xdr:cNvPr id="45058" name="CommandButton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171450</xdr:colOff>
          <xdr:row>0</xdr:row>
          <xdr:rowOff>142875</xdr:rowOff>
        </xdr:from>
        <xdr:to>
          <xdr:col>6</xdr:col>
          <xdr:colOff>57150</xdr:colOff>
          <xdr:row>1</xdr:row>
          <xdr:rowOff>133350</xdr:rowOff>
        </xdr:to>
        <xdr:sp macro="" textlink="">
          <xdr:nvSpPr>
            <xdr:cNvPr id="45059" name="CommandButton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5</xdr:col>
      <xdr:colOff>85725</xdr:colOff>
      <xdr:row>1</xdr:row>
      <xdr:rowOff>190500</xdr:rowOff>
    </xdr:from>
    <xdr:to>
      <xdr:col>7</xdr:col>
      <xdr:colOff>142875</xdr:colOff>
      <xdr:row>4</xdr:row>
      <xdr:rowOff>0</xdr:rowOff>
    </xdr:to>
    <xdr:pic>
      <xdr:nvPicPr>
        <xdr:cNvPr id="45713" name="Picture 5">
          <a:extLst>
            <a:ext uri="{FF2B5EF4-FFF2-40B4-BE49-F238E27FC236}">
              <a16:creationId xmlns:a16="http://schemas.microsoft.com/office/drawing/2014/main" id="{00000000-0008-0000-0700-000091B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5029200" y="5048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0</xdr:col>
          <xdr:colOff>714375</xdr:colOff>
          <xdr:row>0</xdr:row>
          <xdr:rowOff>142875</xdr:rowOff>
        </xdr:from>
        <xdr:to>
          <xdr:col>1</xdr:col>
          <xdr:colOff>247650</xdr:colOff>
          <xdr:row>1</xdr:row>
          <xdr:rowOff>142875</xdr:rowOff>
        </xdr:to>
        <xdr:sp macro="" textlink="">
          <xdr:nvSpPr>
            <xdr:cNvPr id="12351" name="CommandButton1" hidden="1">
              <a:extLst>
                <a:ext uri="{63B3BB69-23CF-44E3-9099-C40C66FF867C}">
                  <a14:compatExt spid="_x0000_s12351"/>
                </a:ext>
                <a:ext uri="{FF2B5EF4-FFF2-40B4-BE49-F238E27FC236}">
                  <a16:creationId xmlns:a16="http://schemas.microsoft.com/office/drawing/2014/main" id="{00000000-0008-0000-08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447675</xdr:colOff>
          <xdr:row>0</xdr:row>
          <xdr:rowOff>133350</xdr:rowOff>
        </xdr:from>
        <xdr:to>
          <xdr:col>2</xdr:col>
          <xdr:colOff>695325</xdr:colOff>
          <xdr:row>1</xdr:row>
          <xdr:rowOff>133350</xdr:rowOff>
        </xdr:to>
        <xdr:sp macro="" textlink="">
          <xdr:nvSpPr>
            <xdr:cNvPr id="12352" name="CommandButton2" hidden="1">
              <a:extLst>
                <a:ext uri="{63B3BB69-23CF-44E3-9099-C40C66FF867C}">
                  <a14:compatExt spid="_x0000_s12352"/>
                </a:ext>
                <a:ext uri="{FF2B5EF4-FFF2-40B4-BE49-F238E27FC236}">
                  <a16:creationId xmlns:a16="http://schemas.microsoft.com/office/drawing/2014/main" id="{00000000-0008-0000-08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752475</xdr:colOff>
          <xdr:row>0</xdr:row>
          <xdr:rowOff>142875</xdr:rowOff>
        </xdr:from>
        <xdr:to>
          <xdr:col>5</xdr:col>
          <xdr:colOff>838200</xdr:colOff>
          <xdr:row>1</xdr:row>
          <xdr:rowOff>133350</xdr:rowOff>
        </xdr:to>
        <xdr:sp macro="" textlink="">
          <xdr:nvSpPr>
            <xdr:cNvPr id="12536" name="CommandButton3" hidden="1">
              <a:extLst>
                <a:ext uri="{63B3BB69-23CF-44E3-9099-C40C66FF867C}">
                  <a14:compatExt spid="_x0000_s12536"/>
                </a:ext>
                <a:ext uri="{FF2B5EF4-FFF2-40B4-BE49-F238E27FC236}">
                  <a16:creationId xmlns:a16="http://schemas.microsoft.com/office/drawing/2014/main" id="{00000000-0008-0000-08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685800</xdr:colOff>
      <xdr:row>1</xdr:row>
      <xdr:rowOff>152400</xdr:rowOff>
    </xdr:from>
    <xdr:to>
      <xdr:col>6</xdr:col>
      <xdr:colOff>609600</xdr:colOff>
      <xdr:row>3</xdr:row>
      <xdr:rowOff>123825</xdr:rowOff>
    </xdr:to>
    <xdr:pic>
      <xdr:nvPicPr>
        <xdr:cNvPr id="13268" name="Picture 5">
          <a:extLst>
            <a:ext uri="{FF2B5EF4-FFF2-40B4-BE49-F238E27FC236}">
              <a16:creationId xmlns:a16="http://schemas.microsoft.com/office/drawing/2014/main" id="{00000000-0008-0000-0800-0000D433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t="15881" b="23038"/>
        <a:stretch>
          <a:fillRect/>
        </a:stretch>
      </xdr:blipFill>
      <xdr:spPr bwMode="auto">
        <a:xfrm>
          <a:off x="4972050" y="466725"/>
          <a:ext cx="1819275"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Reference"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image" Target="../media/image1.emf"/><Relationship Id="rId13" Type="http://schemas.openxmlformats.org/officeDocument/2006/relationships/ctrlProp" Target="../ctrlProps/ctrlProp1.xml"/><Relationship Id="rId3" Type="http://schemas.openxmlformats.org/officeDocument/2006/relationships/hyperlink" Target="https://www.epa.gov/climateleadership/center-corporate-climate-leadership-small-business-and-low-emitters-guide" TargetMode="External"/><Relationship Id="rId7" Type="http://schemas.openxmlformats.org/officeDocument/2006/relationships/control" Target="../activeX/activeX1.xml"/><Relationship Id="rId12" Type="http://schemas.openxmlformats.org/officeDocument/2006/relationships/image" Target="../media/image3.emf"/><Relationship Id="rId2" Type="http://schemas.openxmlformats.org/officeDocument/2006/relationships/hyperlink" Target="https://www.epa.gov/ghgreporting" TargetMode="External"/><Relationship Id="rId1" Type="http://schemas.openxmlformats.org/officeDocument/2006/relationships/hyperlink" Target="https://www.epa.gov/ghgreporting" TargetMode="External"/><Relationship Id="rId6" Type="http://schemas.openxmlformats.org/officeDocument/2006/relationships/vmlDrawing" Target="../drawings/vmlDrawing1.vml"/><Relationship Id="rId11" Type="http://schemas.openxmlformats.org/officeDocument/2006/relationships/control" Target="../activeX/activeX3.xml"/><Relationship Id="rId5" Type="http://schemas.openxmlformats.org/officeDocument/2006/relationships/drawing" Target="../drawings/drawing1.xml"/><Relationship Id="rId15" Type="http://schemas.openxmlformats.org/officeDocument/2006/relationships/ctrlProp" Target="../ctrlProps/ctrlProp3.xml"/><Relationship Id="rId10" Type="http://schemas.openxmlformats.org/officeDocument/2006/relationships/image" Target="../media/image2.emf"/><Relationship Id="rId4" Type="http://schemas.openxmlformats.org/officeDocument/2006/relationships/printerSettings" Target="../printerSettings/printerSettings1.bin"/><Relationship Id="rId9" Type="http://schemas.openxmlformats.org/officeDocument/2006/relationships/control" Target="../activeX/activeX2.xml"/><Relationship Id="rId14" Type="http://schemas.openxmlformats.org/officeDocument/2006/relationships/ctrlProp" Target="../ctrlProps/ctrlProp2.xml"/></Relationships>
</file>

<file path=xl/worksheets/_rels/sheet10.xml.rels><?xml version="1.0" encoding="UTF-8" standalone="yes"?>
<Relationships xmlns="http://schemas.openxmlformats.org/package/2006/relationships"><Relationship Id="rId8" Type="http://schemas.openxmlformats.org/officeDocument/2006/relationships/image" Target="../media/image48.emf"/><Relationship Id="rId13" Type="http://schemas.openxmlformats.org/officeDocument/2006/relationships/control" Target="../activeX/activeX46.xml"/><Relationship Id="rId3" Type="http://schemas.openxmlformats.org/officeDocument/2006/relationships/drawing" Target="../drawings/drawing10.xml"/><Relationship Id="rId7" Type="http://schemas.openxmlformats.org/officeDocument/2006/relationships/control" Target="../activeX/activeX43.xml"/><Relationship Id="rId12" Type="http://schemas.openxmlformats.org/officeDocument/2006/relationships/image" Target="../media/image50.emf"/><Relationship Id="rId2" Type="http://schemas.openxmlformats.org/officeDocument/2006/relationships/printerSettings" Target="../printerSettings/printerSettings10.bin"/><Relationship Id="rId1" Type="http://schemas.openxmlformats.org/officeDocument/2006/relationships/hyperlink" Target="https://oaspub.epa.gov/powpro/ept_pack.charts" TargetMode="External"/><Relationship Id="rId6" Type="http://schemas.openxmlformats.org/officeDocument/2006/relationships/image" Target="../media/image47.emf"/><Relationship Id="rId11" Type="http://schemas.openxmlformats.org/officeDocument/2006/relationships/control" Target="../activeX/activeX45.xml"/><Relationship Id="rId5" Type="http://schemas.openxmlformats.org/officeDocument/2006/relationships/control" Target="../activeX/activeX42.xml"/><Relationship Id="rId10" Type="http://schemas.openxmlformats.org/officeDocument/2006/relationships/image" Target="../media/image49.emf"/><Relationship Id="rId4" Type="http://schemas.openxmlformats.org/officeDocument/2006/relationships/vmlDrawing" Target="../drawings/vmlDrawing10.vml"/><Relationship Id="rId9" Type="http://schemas.openxmlformats.org/officeDocument/2006/relationships/control" Target="../activeX/activeX44.xml"/><Relationship Id="rId14" Type="http://schemas.openxmlformats.org/officeDocument/2006/relationships/image" Target="../media/image51.emf"/></Relationships>
</file>

<file path=xl/worksheets/_rels/sheet11.xml.rels><?xml version="1.0" encoding="UTF-8" standalone="yes"?>
<Relationships xmlns="http://schemas.openxmlformats.org/package/2006/relationships"><Relationship Id="rId8" Type="http://schemas.openxmlformats.org/officeDocument/2006/relationships/control" Target="../activeX/activeX49.xml"/><Relationship Id="rId13" Type="http://schemas.openxmlformats.org/officeDocument/2006/relationships/image" Target="../media/image57.emf"/><Relationship Id="rId3" Type="http://schemas.openxmlformats.org/officeDocument/2006/relationships/vmlDrawing" Target="../drawings/vmlDrawing11.vml"/><Relationship Id="rId7" Type="http://schemas.openxmlformats.org/officeDocument/2006/relationships/image" Target="../media/image54.emf"/><Relationship Id="rId12" Type="http://schemas.openxmlformats.org/officeDocument/2006/relationships/control" Target="../activeX/activeX51.x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ontrol" Target="../activeX/activeX48.xml"/><Relationship Id="rId11" Type="http://schemas.openxmlformats.org/officeDocument/2006/relationships/image" Target="../media/image56.emf"/><Relationship Id="rId5" Type="http://schemas.openxmlformats.org/officeDocument/2006/relationships/image" Target="../media/image53.emf"/><Relationship Id="rId15" Type="http://schemas.openxmlformats.org/officeDocument/2006/relationships/image" Target="../media/image58.emf"/><Relationship Id="rId10" Type="http://schemas.openxmlformats.org/officeDocument/2006/relationships/control" Target="../activeX/activeX50.xml"/><Relationship Id="rId4" Type="http://schemas.openxmlformats.org/officeDocument/2006/relationships/control" Target="../activeX/activeX47.xml"/><Relationship Id="rId9" Type="http://schemas.openxmlformats.org/officeDocument/2006/relationships/image" Target="../media/image55.emf"/><Relationship Id="rId14" Type="http://schemas.openxmlformats.org/officeDocument/2006/relationships/control" Target="../activeX/activeX52.xml"/></Relationships>
</file>

<file path=xl/worksheets/_rels/sheet12.xml.rels><?xml version="1.0" encoding="UTF-8" standalone="yes"?>
<Relationships xmlns="http://schemas.openxmlformats.org/package/2006/relationships"><Relationship Id="rId8" Type="http://schemas.openxmlformats.org/officeDocument/2006/relationships/control" Target="../activeX/activeX55.xml"/><Relationship Id="rId3" Type="http://schemas.openxmlformats.org/officeDocument/2006/relationships/vmlDrawing" Target="../drawings/vmlDrawing12.vml"/><Relationship Id="rId7" Type="http://schemas.openxmlformats.org/officeDocument/2006/relationships/image" Target="../media/image60.emf"/><Relationship Id="rId2" Type="http://schemas.openxmlformats.org/officeDocument/2006/relationships/drawing" Target="../drawings/drawing12.xml"/><Relationship Id="rId1" Type="http://schemas.openxmlformats.org/officeDocument/2006/relationships/printerSettings" Target="../printerSettings/printerSettings12.bin"/><Relationship Id="rId6" Type="http://schemas.openxmlformats.org/officeDocument/2006/relationships/control" Target="../activeX/activeX54.xml"/><Relationship Id="rId5" Type="http://schemas.openxmlformats.org/officeDocument/2006/relationships/image" Target="../media/image59.emf"/><Relationship Id="rId4" Type="http://schemas.openxmlformats.org/officeDocument/2006/relationships/control" Target="../activeX/activeX53.xml"/><Relationship Id="rId9" Type="http://schemas.openxmlformats.org/officeDocument/2006/relationships/image" Target="../media/image61.emf"/></Relationships>
</file>

<file path=xl/worksheets/_rels/sheet13.xml.rels><?xml version="1.0" encoding="UTF-8" standalone="yes"?>
<Relationships xmlns="http://schemas.openxmlformats.org/package/2006/relationships"><Relationship Id="rId8" Type="http://schemas.openxmlformats.org/officeDocument/2006/relationships/control" Target="../activeX/activeX58.xml"/><Relationship Id="rId3" Type="http://schemas.openxmlformats.org/officeDocument/2006/relationships/vmlDrawing" Target="../drawings/vmlDrawing13.vml"/><Relationship Id="rId7" Type="http://schemas.openxmlformats.org/officeDocument/2006/relationships/image" Target="../media/image63.emf"/><Relationship Id="rId2" Type="http://schemas.openxmlformats.org/officeDocument/2006/relationships/drawing" Target="../drawings/drawing13.xml"/><Relationship Id="rId1" Type="http://schemas.openxmlformats.org/officeDocument/2006/relationships/printerSettings" Target="../printerSettings/printerSettings13.bin"/><Relationship Id="rId6" Type="http://schemas.openxmlformats.org/officeDocument/2006/relationships/control" Target="../activeX/activeX57.xml"/><Relationship Id="rId5" Type="http://schemas.openxmlformats.org/officeDocument/2006/relationships/image" Target="../media/image62.emf"/><Relationship Id="rId4" Type="http://schemas.openxmlformats.org/officeDocument/2006/relationships/control" Target="../activeX/activeX56.xml"/><Relationship Id="rId9" Type="http://schemas.openxmlformats.org/officeDocument/2006/relationships/image" Target="../media/image64.emf"/></Relationships>
</file>

<file path=xl/worksheets/_rels/sheet14.xml.rels><?xml version="1.0" encoding="UTF-8" standalone="yes"?>
<Relationships xmlns="http://schemas.openxmlformats.org/package/2006/relationships"><Relationship Id="rId8" Type="http://schemas.openxmlformats.org/officeDocument/2006/relationships/control" Target="../activeX/activeX61.xml"/><Relationship Id="rId3" Type="http://schemas.openxmlformats.org/officeDocument/2006/relationships/vmlDrawing" Target="../drawings/vmlDrawing14.vml"/><Relationship Id="rId7" Type="http://schemas.openxmlformats.org/officeDocument/2006/relationships/image" Target="../media/image66.emf"/><Relationship Id="rId2" Type="http://schemas.openxmlformats.org/officeDocument/2006/relationships/drawing" Target="../drawings/drawing14.xml"/><Relationship Id="rId1" Type="http://schemas.openxmlformats.org/officeDocument/2006/relationships/printerSettings" Target="../printerSettings/printerSettings14.bin"/><Relationship Id="rId6" Type="http://schemas.openxmlformats.org/officeDocument/2006/relationships/control" Target="../activeX/activeX60.xml"/><Relationship Id="rId5" Type="http://schemas.openxmlformats.org/officeDocument/2006/relationships/image" Target="../media/image65.emf"/><Relationship Id="rId4" Type="http://schemas.openxmlformats.org/officeDocument/2006/relationships/control" Target="../activeX/activeX59.xml"/><Relationship Id="rId9" Type="http://schemas.openxmlformats.org/officeDocument/2006/relationships/image" Target="../media/image67.emf"/></Relationships>
</file>

<file path=xl/worksheets/_rels/sheet15.xml.rels><?xml version="1.0" encoding="UTF-8" standalone="yes"?>
<Relationships xmlns="http://schemas.openxmlformats.org/package/2006/relationships"><Relationship Id="rId8" Type="http://schemas.openxmlformats.org/officeDocument/2006/relationships/control" Target="../activeX/activeX64.xml"/><Relationship Id="rId3" Type="http://schemas.openxmlformats.org/officeDocument/2006/relationships/vmlDrawing" Target="../drawings/vmlDrawing15.vml"/><Relationship Id="rId7" Type="http://schemas.openxmlformats.org/officeDocument/2006/relationships/image" Target="../media/image69.emf"/><Relationship Id="rId2" Type="http://schemas.openxmlformats.org/officeDocument/2006/relationships/drawing" Target="../drawings/drawing15.xml"/><Relationship Id="rId1" Type="http://schemas.openxmlformats.org/officeDocument/2006/relationships/printerSettings" Target="../printerSettings/printerSettings15.bin"/><Relationship Id="rId6" Type="http://schemas.openxmlformats.org/officeDocument/2006/relationships/control" Target="../activeX/activeX63.xml"/><Relationship Id="rId5" Type="http://schemas.openxmlformats.org/officeDocument/2006/relationships/image" Target="../media/image68.emf"/><Relationship Id="rId4" Type="http://schemas.openxmlformats.org/officeDocument/2006/relationships/control" Target="../activeX/activeX62.xml"/><Relationship Id="rId9" Type="http://schemas.openxmlformats.org/officeDocument/2006/relationships/image" Target="../media/image70.emf"/></Relationships>
</file>

<file path=xl/worksheets/_rels/sheet16.xml.rels><?xml version="1.0" encoding="UTF-8" standalone="yes"?>
<Relationships xmlns="http://schemas.openxmlformats.org/package/2006/relationships"><Relationship Id="rId8" Type="http://schemas.openxmlformats.org/officeDocument/2006/relationships/control" Target="../activeX/activeX67.xml"/><Relationship Id="rId3" Type="http://schemas.openxmlformats.org/officeDocument/2006/relationships/vmlDrawing" Target="../drawings/vmlDrawing16.vml"/><Relationship Id="rId7" Type="http://schemas.openxmlformats.org/officeDocument/2006/relationships/image" Target="../media/image72.emf"/><Relationship Id="rId2" Type="http://schemas.openxmlformats.org/officeDocument/2006/relationships/drawing" Target="../drawings/drawing16.xml"/><Relationship Id="rId1" Type="http://schemas.openxmlformats.org/officeDocument/2006/relationships/printerSettings" Target="../printerSettings/printerSettings16.bin"/><Relationship Id="rId6" Type="http://schemas.openxmlformats.org/officeDocument/2006/relationships/control" Target="../activeX/activeX66.xml"/><Relationship Id="rId5" Type="http://schemas.openxmlformats.org/officeDocument/2006/relationships/image" Target="../media/image71.emf"/><Relationship Id="rId4" Type="http://schemas.openxmlformats.org/officeDocument/2006/relationships/control" Target="../activeX/activeX65.xml"/><Relationship Id="rId9" Type="http://schemas.openxmlformats.org/officeDocument/2006/relationships/image" Target="../media/image73.e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7" Type="http://schemas.openxmlformats.org/officeDocument/2006/relationships/image" Target="../media/image75.emf"/><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ontrol" Target="../activeX/activeX69.xml"/><Relationship Id="rId5" Type="http://schemas.openxmlformats.org/officeDocument/2006/relationships/image" Target="../media/image74.emf"/><Relationship Id="rId4" Type="http://schemas.openxmlformats.org/officeDocument/2006/relationships/control" Target="../activeX/activeX68.xml"/></Relationships>
</file>

<file path=xl/worksheets/_rels/sheet18.xml.rels><?xml version="1.0" encoding="UTF-8" standalone="yes"?>
<Relationships xmlns="http://schemas.openxmlformats.org/package/2006/relationships"><Relationship Id="rId8" Type="http://schemas.openxmlformats.org/officeDocument/2006/relationships/control" Target="../activeX/activeX72.xml"/><Relationship Id="rId3" Type="http://schemas.openxmlformats.org/officeDocument/2006/relationships/vmlDrawing" Target="../drawings/vmlDrawing18.vml"/><Relationship Id="rId7" Type="http://schemas.openxmlformats.org/officeDocument/2006/relationships/image" Target="../media/image78.emf"/><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ontrol" Target="../activeX/activeX71.xml"/><Relationship Id="rId11" Type="http://schemas.openxmlformats.org/officeDocument/2006/relationships/image" Target="../media/image80.emf"/><Relationship Id="rId5" Type="http://schemas.openxmlformats.org/officeDocument/2006/relationships/image" Target="../media/image77.emf"/><Relationship Id="rId10" Type="http://schemas.openxmlformats.org/officeDocument/2006/relationships/control" Target="../activeX/activeX73.xml"/><Relationship Id="rId4" Type="http://schemas.openxmlformats.org/officeDocument/2006/relationships/control" Target="../activeX/activeX70.xml"/><Relationship Id="rId9" Type="http://schemas.openxmlformats.org/officeDocument/2006/relationships/image" Target="../media/image79.emf"/></Relationships>
</file>

<file path=xl/worksheets/_rels/sheet19.xml.rels><?xml version="1.0" encoding="UTF-8" standalone="yes"?>
<Relationships xmlns="http://schemas.openxmlformats.org/package/2006/relationships"><Relationship Id="rId8" Type="http://schemas.openxmlformats.org/officeDocument/2006/relationships/image" Target="../media/image82.emf"/><Relationship Id="rId3" Type="http://schemas.openxmlformats.org/officeDocument/2006/relationships/drawing" Target="../drawings/drawing19.xml"/><Relationship Id="rId7" Type="http://schemas.openxmlformats.org/officeDocument/2006/relationships/control" Target="../activeX/activeX75.xml"/><Relationship Id="rId2" Type="http://schemas.openxmlformats.org/officeDocument/2006/relationships/printerSettings" Target="../printerSettings/printerSettings19.bin"/><Relationship Id="rId1" Type="http://schemas.openxmlformats.org/officeDocument/2006/relationships/hyperlink" Target="https://www.epa.gov/climateleadership/center-corporate-climate-leadership-ghg-emission-factors-hub" TargetMode="External"/><Relationship Id="rId6" Type="http://schemas.openxmlformats.org/officeDocument/2006/relationships/image" Target="../media/image81.emf"/><Relationship Id="rId5" Type="http://schemas.openxmlformats.org/officeDocument/2006/relationships/control" Target="../activeX/activeX74.xml"/><Relationship Id="rId4" Type="http://schemas.openxmlformats.org/officeDocument/2006/relationships/vmlDrawing" Target="../drawings/vmlDrawing19.vml"/><Relationship Id="rId9"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control" Target="../activeX/activeX8.xml"/><Relationship Id="rId18" Type="http://schemas.openxmlformats.org/officeDocument/2006/relationships/image" Target="../media/image11.emf"/><Relationship Id="rId26" Type="http://schemas.openxmlformats.org/officeDocument/2006/relationships/image" Target="../media/image15.emf"/><Relationship Id="rId39" Type="http://schemas.openxmlformats.org/officeDocument/2006/relationships/control" Target="../activeX/activeX21.xml"/><Relationship Id="rId21" Type="http://schemas.openxmlformats.org/officeDocument/2006/relationships/control" Target="../activeX/activeX12.xml"/><Relationship Id="rId34" Type="http://schemas.openxmlformats.org/officeDocument/2006/relationships/image" Target="../media/image19.emf"/><Relationship Id="rId7" Type="http://schemas.openxmlformats.org/officeDocument/2006/relationships/control" Target="../activeX/activeX5.xml"/><Relationship Id="rId12" Type="http://schemas.openxmlformats.org/officeDocument/2006/relationships/image" Target="../media/image8.emf"/><Relationship Id="rId17" Type="http://schemas.openxmlformats.org/officeDocument/2006/relationships/control" Target="../activeX/activeX10.xml"/><Relationship Id="rId25" Type="http://schemas.openxmlformats.org/officeDocument/2006/relationships/control" Target="../activeX/activeX14.xml"/><Relationship Id="rId33" Type="http://schemas.openxmlformats.org/officeDocument/2006/relationships/control" Target="../activeX/activeX18.xml"/><Relationship Id="rId38" Type="http://schemas.openxmlformats.org/officeDocument/2006/relationships/image" Target="../media/image21.emf"/><Relationship Id="rId2" Type="http://schemas.openxmlformats.org/officeDocument/2006/relationships/printerSettings" Target="../printerSettings/printerSettings2.bin"/><Relationship Id="rId16" Type="http://schemas.openxmlformats.org/officeDocument/2006/relationships/image" Target="../media/image10.emf"/><Relationship Id="rId20" Type="http://schemas.openxmlformats.org/officeDocument/2006/relationships/image" Target="../media/image12.emf"/><Relationship Id="rId29" Type="http://schemas.openxmlformats.org/officeDocument/2006/relationships/control" Target="../activeX/activeX16.xml"/><Relationship Id="rId1" Type="http://schemas.openxmlformats.org/officeDocument/2006/relationships/hyperlink" Target="https://www.epa.gov/climateleadership/center-corporate-climate-leadership-annual-ghg-inventory-summary-and-goal-tracking" TargetMode="External"/><Relationship Id="rId6" Type="http://schemas.openxmlformats.org/officeDocument/2006/relationships/image" Target="../media/image5.emf"/><Relationship Id="rId11" Type="http://schemas.openxmlformats.org/officeDocument/2006/relationships/control" Target="../activeX/activeX7.xml"/><Relationship Id="rId24" Type="http://schemas.openxmlformats.org/officeDocument/2006/relationships/image" Target="../media/image14.emf"/><Relationship Id="rId32" Type="http://schemas.openxmlformats.org/officeDocument/2006/relationships/image" Target="../media/image18.emf"/><Relationship Id="rId37" Type="http://schemas.openxmlformats.org/officeDocument/2006/relationships/control" Target="../activeX/activeX20.xml"/><Relationship Id="rId40" Type="http://schemas.openxmlformats.org/officeDocument/2006/relationships/image" Target="../media/image22.emf"/><Relationship Id="rId5" Type="http://schemas.openxmlformats.org/officeDocument/2006/relationships/control" Target="../activeX/activeX4.xml"/><Relationship Id="rId15" Type="http://schemas.openxmlformats.org/officeDocument/2006/relationships/control" Target="../activeX/activeX9.xml"/><Relationship Id="rId23" Type="http://schemas.openxmlformats.org/officeDocument/2006/relationships/control" Target="../activeX/activeX13.xml"/><Relationship Id="rId28" Type="http://schemas.openxmlformats.org/officeDocument/2006/relationships/image" Target="../media/image16.emf"/><Relationship Id="rId36" Type="http://schemas.openxmlformats.org/officeDocument/2006/relationships/image" Target="../media/image20.emf"/><Relationship Id="rId10" Type="http://schemas.openxmlformats.org/officeDocument/2006/relationships/image" Target="../media/image7.emf"/><Relationship Id="rId19" Type="http://schemas.openxmlformats.org/officeDocument/2006/relationships/control" Target="../activeX/activeX11.xml"/><Relationship Id="rId31" Type="http://schemas.openxmlformats.org/officeDocument/2006/relationships/control" Target="../activeX/activeX17.xml"/><Relationship Id="rId4" Type="http://schemas.openxmlformats.org/officeDocument/2006/relationships/vmlDrawing" Target="../drawings/vmlDrawing2.vml"/><Relationship Id="rId9" Type="http://schemas.openxmlformats.org/officeDocument/2006/relationships/control" Target="../activeX/activeX6.xml"/><Relationship Id="rId14" Type="http://schemas.openxmlformats.org/officeDocument/2006/relationships/image" Target="../media/image9.emf"/><Relationship Id="rId22" Type="http://schemas.openxmlformats.org/officeDocument/2006/relationships/image" Target="../media/image13.emf"/><Relationship Id="rId27" Type="http://schemas.openxmlformats.org/officeDocument/2006/relationships/control" Target="../activeX/activeX15.xml"/><Relationship Id="rId30" Type="http://schemas.openxmlformats.org/officeDocument/2006/relationships/image" Target="../media/image17.emf"/><Relationship Id="rId35" Type="http://schemas.openxmlformats.org/officeDocument/2006/relationships/control" Target="../activeX/activeX19.xml"/><Relationship Id="rId8" Type="http://schemas.openxmlformats.org/officeDocument/2006/relationships/image" Target="../media/image6.emf"/><Relationship Id="rId3"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0.xml"/><Relationship Id="rId1" Type="http://schemas.openxmlformats.org/officeDocument/2006/relationships/printerSettings" Target="../printerSettings/printerSettings20.bin"/><Relationship Id="rId6" Type="http://schemas.openxmlformats.org/officeDocument/2006/relationships/ctrlProp" Target="../ctrlProps/ctrlProp4.xml"/><Relationship Id="rId5" Type="http://schemas.openxmlformats.org/officeDocument/2006/relationships/image" Target="../media/image84.emf"/><Relationship Id="rId4" Type="http://schemas.openxmlformats.org/officeDocument/2006/relationships/control" Target="../activeX/activeX76.xml"/></Relationships>
</file>

<file path=xl/worksheets/_rels/sheet22.xml.rels><?xml version="1.0" encoding="UTF-8" standalone="yes"?>
<Relationships xmlns="http://schemas.openxmlformats.org/package/2006/relationships"><Relationship Id="rId8" Type="http://schemas.openxmlformats.org/officeDocument/2006/relationships/control" Target="../activeX/activeX79.xml"/><Relationship Id="rId3" Type="http://schemas.openxmlformats.org/officeDocument/2006/relationships/vmlDrawing" Target="../drawings/vmlDrawing21.vml"/><Relationship Id="rId7" Type="http://schemas.openxmlformats.org/officeDocument/2006/relationships/image" Target="../media/image87.emf"/><Relationship Id="rId2" Type="http://schemas.openxmlformats.org/officeDocument/2006/relationships/drawing" Target="../drawings/drawing21.xml"/><Relationship Id="rId1" Type="http://schemas.openxmlformats.org/officeDocument/2006/relationships/printerSettings" Target="../printerSettings/printerSettings21.bin"/><Relationship Id="rId6" Type="http://schemas.openxmlformats.org/officeDocument/2006/relationships/control" Target="../activeX/activeX78.xml"/><Relationship Id="rId5" Type="http://schemas.openxmlformats.org/officeDocument/2006/relationships/image" Target="../media/image86.emf"/><Relationship Id="rId4" Type="http://schemas.openxmlformats.org/officeDocument/2006/relationships/control" Target="../activeX/activeX77.xml"/><Relationship Id="rId9" Type="http://schemas.openxmlformats.org/officeDocument/2006/relationships/image" Target="../media/image88.emf"/></Relationships>
</file>

<file path=xl/worksheets/_rels/sheet23.xml.rels><?xml version="1.0" encoding="UTF-8" standalone="yes"?>
<Relationships xmlns="http://schemas.openxmlformats.org/package/2006/relationships"><Relationship Id="rId8" Type="http://schemas.openxmlformats.org/officeDocument/2006/relationships/image" Target="../media/image91.emf"/><Relationship Id="rId3" Type="http://schemas.openxmlformats.org/officeDocument/2006/relationships/drawing" Target="../drawings/drawing22.xml"/><Relationship Id="rId7" Type="http://schemas.openxmlformats.org/officeDocument/2006/relationships/control" Target="../activeX/activeX81.xml"/><Relationship Id="rId2" Type="http://schemas.openxmlformats.org/officeDocument/2006/relationships/printerSettings" Target="../printerSettings/printerSettings22.bin"/><Relationship Id="rId1" Type="http://schemas.openxmlformats.org/officeDocument/2006/relationships/hyperlink" Target="http://www.fueleconomy.gov/" TargetMode="External"/><Relationship Id="rId6" Type="http://schemas.openxmlformats.org/officeDocument/2006/relationships/image" Target="../media/image90.emf"/><Relationship Id="rId5" Type="http://schemas.openxmlformats.org/officeDocument/2006/relationships/control" Target="../activeX/activeX80.xml"/><Relationship Id="rId4" Type="http://schemas.openxmlformats.org/officeDocument/2006/relationships/vmlDrawing" Target="../drawings/vmlDrawing22.vml"/></Relationships>
</file>

<file path=xl/worksheets/_rels/sheet24.xml.rels><?xml version="1.0" encoding="UTF-8" standalone="yes"?>
<Relationships xmlns="http://schemas.openxmlformats.org/package/2006/relationships"><Relationship Id="rId8" Type="http://schemas.openxmlformats.org/officeDocument/2006/relationships/image" Target="../media/image93.emf"/><Relationship Id="rId3" Type="http://schemas.openxmlformats.org/officeDocument/2006/relationships/drawing" Target="../drawings/drawing23.xml"/><Relationship Id="rId7" Type="http://schemas.openxmlformats.org/officeDocument/2006/relationships/control" Target="../activeX/activeX83.xml"/><Relationship Id="rId2" Type="http://schemas.openxmlformats.org/officeDocument/2006/relationships/printerSettings" Target="../printerSettings/printerSettings23.bin"/><Relationship Id="rId1" Type="http://schemas.openxmlformats.org/officeDocument/2006/relationships/hyperlink" Target="http://www.epa.gov/ozone/snap/refrigerants/refblend.html" TargetMode="External"/><Relationship Id="rId6" Type="http://schemas.openxmlformats.org/officeDocument/2006/relationships/image" Target="../media/image92.emf"/><Relationship Id="rId5" Type="http://schemas.openxmlformats.org/officeDocument/2006/relationships/control" Target="../activeX/activeX82.xml"/><Relationship Id="rId4" Type="http://schemas.openxmlformats.org/officeDocument/2006/relationships/vmlDrawing" Target="../drawings/vmlDrawing23.v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7" Type="http://schemas.openxmlformats.org/officeDocument/2006/relationships/image" Target="../media/image95.emf"/><Relationship Id="rId2" Type="http://schemas.openxmlformats.org/officeDocument/2006/relationships/drawing" Target="../drawings/drawing24.xml"/><Relationship Id="rId1" Type="http://schemas.openxmlformats.org/officeDocument/2006/relationships/printerSettings" Target="../printerSettings/printerSettings24.bin"/><Relationship Id="rId6" Type="http://schemas.openxmlformats.org/officeDocument/2006/relationships/control" Target="../activeX/activeX85.xml"/><Relationship Id="rId5" Type="http://schemas.openxmlformats.org/officeDocument/2006/relationships/image" Target="../media/image94.emf"/><Relationship Id="rId4" Type="http://schemas.openxmlformats.org/officeDocument/2006/relationships/control" Target="../activeX/activeX8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7" Type="http://schemas.openxmlformats.org/officeDocument/2006/relationships/image" Target="../media/image97.emf"/><Relationship Id="rId2" Type="http://schemas.openxmlformats.org/officeDocument/2006/relationships/drawing" Target="../drawings/drawing25.xml"/><Relationship Id="rId1" Type="http://schemas.openxmlformats.org/officeDocument/2006/relationships/printerSettings" Target="../printerSettings/printerSettings25.bin"/><Relationship Id="rId6" Type="http://schemas.openxmlformats.org/officeDocument/2006/relationships/control" Target="../activeX/activeX87.xml"/><Relationship Id="rId5" Type="http://schemas.openxmlformats.org/officeDocument/2006/relationships/image" Target="../media/image96.emf"/><Relationship Id="rId4" Type="http://schemas.openxmlformats.org/officeDocument/2006/relationships/control" Target="../activeX/activeX8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7" Type="http://schemas.openxmlformats.org/officeDocument/2006/relationships/image" Target="../media/image99.emf"/><Relationship Id="rId2" Type="http://schemas.openxmlformats.org/officeDocument/2006/relationships/drawing" Target="../drawings/drawing26.xml"/><Relationship Id="rId1" Type="http://schemas.openxmlformats.org/officeDocument/2006/relationships/printerSettings" Target="../printerSettings/printerSettings26.bin"/><Relationship Id="rId6" Type="http://schemas.openxmlformats.org/officeDocument/2006/relationships/control" Target="../activeX/activeX89.xml"/><Relationship Id="rId5" Type="http://schemas.openxmlformats.org/officeDocument/2006/relationships/image" Target="../media/image98.emf"/><Relationship Id="rId4" Type="http://schemas.openxmlformats.org/officeDocument/2006/relationships/control" Target="../activeX/activeX88.xml"/></Relationships>
</file>

<file path=xl/worksheets/_rels/sheet28.xml.rels><?xml version="1.0" encoding="UTF-8" standalone="yes"?>
<Relationships xmlns="http://schemas.openxmlformats.org/package/2006/relationships"><Relationship Id="rId8" Type="http://schemas.openxmlformats.org/officeDocument/2006/relationships/control" Target="../activeX/activeX91.xml"/><Relationship Id="rId13" Type="http://schemas.openxmlformats.org/officeDocument/2006/relationships/image" Target="../media/image103.emf"/><Relationship Id="rId3" Type="http://schemas.openxmlformats.org/officeDocument/2006/relationships/printerSettings" Target="../printerSettings/printerSettings27.bin"/><Relationship Id="rId7" Type="http://schemas.openxmlformats.org/officeDocument/2006/relationships/image" Target="../media/image100.emf"/><Relationship Id="rId12" Type="http://schemas.openxmlformats.org/officeDocument/2006/relationships/control" Target="../activeX/activeX93.xml"/><Relationship Id="rId2" Type="http://schemas.openxmlformats.org/officeDocument/2006/relationships/hyperlink" Target="https://www.epa.gov/climateleadership/center-corporate-climate-leadership-indirect-emissions-purchased-electricity" TargetMode="External"/><Relationship Id="rId1" Type="http://schemas.openxmlformats.org/officeDocument/2006/relationships/hyperlink" Target="https://www.epa.gov/climateleadership/center-corporate-climate-leadership-greenhouse-gas-inventory-guidance" TargetMode="External"/><Relationship Id="rId6" Type="http://schemas.openxmlformats.org/officeDocument/2006/relationships/control" Target="../activeX/activeX90.xml"/><Relationship Id="rId11" Type="http://schemas.openxmlformats.org/officeDocument/2006/relationships/image" Target="../media/image102.emf"/><Relationship Id="rId5" Type="http://schemas.openxmlformats.org/officeDocument/2006/relationships/vmlDrawing" Target="../drawings/vmlDrawing27.vml"/><Relationship Id="rId10" Type="http://schemas.openxmlformats.org/officeDocument/2006/relationships/control" Target="../activeX/activeX92.xml"/><Relationship Id="rId4" Type="http://schemas.openxmlformats.org/officeDocument/2006/relationships/drawing" Target="../drawings/drawing27.xml"/><Relationship Id="rId9" Type="http://schemas.openxmlformats.org/officeDocument/2006/relationships/image" Target="../media/image101.emf"/></Relationships>
</file>

<file path=xl/worksheets/_rels/sheet29.xml.rels><?xml version="1.0" encoding="UTF-8" standalone="yes"?>
<Relationships xmlns="http://schemas.openxmlformats.org/package/2006/relationships"><Relationship Id="rId8" Type="http://schemas.openxmlformats.org/officeDocument/2006/relationships/image" Target="../media/image105.emf"/><Relationship Id="rId13" Type="http://schemas.openxmlformats.org/officeDocument/2006/relationships/control" Target="../activeX/activeX98.xml"/><Relationship Id="rId3" Type="http://schemas.openxmlformats.org/officeDocument/2006/relationships/drawing" Target="../drawings/drawing28.xml"/><Relationship Id="rId7" Type="http://schemas.openxmlformats.org/officeDocument/2006/relationships/control" Target="../activeX/activeX95.xml"/><Relationship Id="rId12" Type="http://schemas.openxmlformats.org/officeDocument/2006/relationships/image" Target="../media/image107.emf"/><Relationship Id="rId2" Type="http://schemas.openxmlformats.org/officeDocument/2006/relationships/printerSettings" Target="../printerSettings/printerSettings28.bin"/><Relationship Id="rId1" Type="http://schemas.openxmlformats.org/officeDocument/2006/relationships/hyperlink" Target="https://www.epa.gov/climateleadership/center-corporate-climate-leadership-greenhouse-gas-inventory-guidance" TargetMode="External"/><Relationship Id="rId6" Type="http://schemas.openxmlformats.org/officeDocument/2006/relationships/image" Target="../media/image104.emf"/><Relationship Id="rId11" Type="http://schemas.openxmlformats.org/officeDocument/2006/relationships/control" Target="../activeX/activeX97.xml"/><Relationship Id="rId5" Type="http://schemas.openxmlformats.org/officeDocument/2006/relationships/control" Target="../activeX/activeX94.xml"/><Relationship Id="rId15" Type="http://schemas.openxmlformats.org/officeDocument/2006/relationships/comments" Target="../comments2.xml"/><Relationship Id="rId10" Type="http://schemas.openxmlformats.org/officeDocument/2006/relationships/image" Target="../media/image106.emf"/><Relationship Id="rId4" Type="http://schemas.openxmlformats.org/officeDocument/2006/relationships/vmlDrawing" Target="../drawings/vmlDrawing28.vml"/><Relationship Id="rId9" Type="http://schemas.openxmlformats.org/officeDocument/2006/relationships/control" Target="../activeX/activeX96.xml"/><Relationship Id="rId14" Type="http://schemas.openxmlformats.org/officeDocument/2006/relationships/image" Target="../media/image108.emf"/></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24.emf"/><Relationship Id="rId4" Type="http://schemas.openxmlformats.org/officeDocument/2006/relationships/control" Target="../activeX/activeX22.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101.xml"/><Relationship Id="rId3" Type="http://schemas.openxmlformats.org/officeDocument/2006/relationships/vmlDrawing" Target="../drawings/vmlDrawing29.vml"/><Relationship Id="rId7" Type="http://schemas.openxmlformats.org/officeDocument/2006/relationships/image" Target="../media/image110.emf"/><Relationship Id="rId2" Type="http://schemas.openxmlformats.org/officeDocument/2006/relationships/drawing" Target="../drawings/drawing29.xml"/><Relationship Id="rId1" Type="http://schemas.openxmlformats.org/officeDocument/2006/relationships/printerSettings" Target="../printerSettings/printerSettings29.bin"/><Relationship Id="rId6" Type="http://schemas.openxmlformats.org/officeDocument/2006/relationships/control" Target="../activeX/activeX100.xml"/><Relationship Id="rId11" Type="http://schemas.openxmlformats.org/officeDocument/2006/relationships/image" Target="../media/image112.emf"/><Relationship Id="rId5" Type="http://schemas.openxmlformats.org/officeDocument/2006/relationships/image" Target="../media/image109.emf"/><Relationship Id="rId10" Type="http://schemas.openxmlformats.org/officeDocument/2006/relationships/control" Target="../activeX/activeX102.xml"/><Relationship Id="rId4" Type="http://schemas.openxmlformats.org/officeDocument/2006/relationships/control" Target="../activeX/activeX99.xml"/><Relationship Id="rId9" Type="http://schemas.openxmlformats.org/officeDocument/2006/relationships/image" Target="../media/image111.emf"/></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7" Type="http://schemas.openxmlformats.org/officeDocument/2006/relationships/image" Target="../media/image114.emf"/><Relationship Id="rId2" Type="http://schemas.openxmlformats.org/officeDocument/2006/relationships/drawing" Target="../drawings/drawing30.xml"/><Relationship Id="rId1" Type="http://schemas.openxmlformats.org/officeDocument/2006/relationships/printerSettings" Target="../printerSettings/printerSettings30.bin"/><Relationship Id="rId6" Type="http://schemas.openxmlformats.org/officeDocument/2006/relationships/control" Target="../activeX/activeX104.xml"/><Relationship Id="rId5" Type="http://schemas.openxmlformats.org/officeDocument/2006/relationships/image" Target="../media/image113.emf"/><Relationship Id="rId4" Type="http://schemas.openxmlformats.org/officeDocument/2006/relationships/control" Target="../activeX/activeX103.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image" Target="../media/image116.emf"/><Relationship Id="rId2" Type="http://schemas.openxmlformats.org/officeDocument/2006/relationships/drawing" Target="../drawings/drawing31.xml"/><Relationship Id="rId1" Type="http://schemas.openxmlformats.org/officeDocument/2006/relationships/printerSettings" Target="../printerSettings/printerSettings31.bin"/><Relationship Id="rId6" Type="http://schemas.openxmlformats.org/officeDocument/2006/relationships/control" Target="../activeX/activeX106.xml"/><Relationship Id="rId5" Type="http://schemas.openxmlformats.org/officeDocument/2006/relationships/image" Target="../media/image115.emf"/><Relationship Id="rId4" Type="http://schemas.openxmlformats.org/officeDocument/2006/relationships/control" Target="../activeX/activeX105.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7" Type="http://schemas.openxmlformats.org/officeDocument/2006/relationships/image" Target="../media/image118.emf"/><Relationship Id="rId2" Type="http://schemas.openxmlformats.org/officeDocument/2006/relationships/drawing" Target="../drawings/drawing32.xml"/><Relationship Id="rId1" Type="http://schemas.openxmlformats.org/officeDocument/2006/relationships/printerSettings" Target="../printerSettings/printerSettings32.bin"/><Relationship Id="rId6" Type="http://schemas.openxmlformats.org/officeDocument/2006/relationships/control" Target="../activeX/activeX108.xml"/><Relationship Id="rId5" Type="http://schemas.openxmlformats.org/officeDocument/2006/relationships/image" Target="../media/image117.emf"/><Relationship Id="rId4" Type="http://schemas.openxmlformats.org/officeDocument/2006/relationships/control" Target="../activeX/activeX107.xml"/></Relationships>
</file>

<file path=xl/worksheets/_rels/sheet34.xml.rels><?xml version="1.0" encoding="UTF-8" standalone="yes"?>
<Relationships xmlns="http://schemas.openxmlformats.org/package/2006/relationships"><Relationship Id="rId8" Type="http://schemas.openxmlformats.org/officeDocument/2006/relationships/control" Target="../activeX/activeX111.xml"/><Relationship Id="rId3" Type="http://schemas.openxmlformats.org/officeDocument/2006/relationships/vmlDrawing" Target="../drawings/vmlDrawing33.vml"/><Relationship Id="rId7" Type="http://schemas.openxmlformats.org/officeDocument/2006/relationships/image" Target="../media/image120.emf"/><Relationship Id="rId2" Type="http://schemas.openxmlformats.org/officeDocument/2006/relationships/drawing" Target="../drawings/drawing33.xml"/><Relationship Id="rId1" Type="http://schemas.openxmlformats.org/officeDocument/2006/relationships/printerSettings" Target="../printerSettings/printerSettings33.bin"/><Relationship Id="rId6" Type="http://schemas.openxmlformats.org/officeDocument/2006/relationships/control" Target="../activeX/activeX110.xml"/><Relationship Id="rId5" Type="http://schemas.openxmlformats.org/officeDocument/2006/relationships/image" Target="../media/image119.emf"/><Relationship Id="rId4" Type="http://schemas.openxmlformats.org/officeDocument/2006/relationships/control" Target="../activeX/activeX109.xml"/><Relationship Id="rId9" Type="http://schemas.openxmlformats.org/officeDocument/2006/relationships/image" Target="../media/image121.emf"/></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7" Type="http://schemas.openxmlformats.org/officeDocument/2006/relationships/image" Target="../media/image123.emf"/><Relationship Id="rId2" Type="http://schemas.openxmlformats.org/officeDocument/2006/relationships/drawing" Target="../drawings/drawing34.xml"/><Relationship Id="rId1" Type="http://schemas.openxmlformats.org/officeDocument/2006/relationships/printerSettings" Target="../printerSettings/printerSettings34.bin"/><Relationship Id="rId6" Type="http://schemas.openxmlformats.org/officeDocument/2006/relationships/control" Target="../activeX/activeX113.xml"/><Relationship Id="rId5" Type="http://schemas.openxmlformats.org/officeDocument/2006/relationships/image" Target="../media/image122.emf"/><Relationship Id="rId4" Type="http://schemas.openxmlformats.org/officeDocument/2006/relationships/control" Target="../activeX/activeX112.xml"/></Relationships>
</file>

<file path=xl/worksheets/_rels/sheet4.xml.rels><?xml version="1.0" encoding="UTF-8" standalone="yes"?>
<Relationships xmlns="http://schemas.openxmlformats.org/package/2006/relationships"><Relationship Id="rId8" Type="http://schemas.openxmlformats.org/officeDocument/2006/relationships/control" Target="../activeX/activeX25.xml"/><Relationship Id="rId3" Type="http://schemas.openxmlformats.org/officeDocument/2006/relationships/vmlDrawing" Target="../drawings/vmlDrawing4.vml"/><Relationship Id="rId7" Type="http://schemas.openxmlformats.org/officeDocument/2006/relationships/image" Target="../media/image27.emf"/><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ntrol" Target="../activeX/activeX24.xml"/><Relationship Id="rId11" Type="http://schemas.openxmlformats.org/officeDocument/2006/relationships/image" Target="../media/image29.emf"/><Relationship Id="rId5" Type="http://schemas.openxmlformats.org/officeDocument/2006/relationships/image" Target="../media/image26.emf"/><Relationship Id="rId10" Type="http://schemas.openxmlformats.org/officeDocument/2006/relationships/control" Target="../activeX/activeX26.xml"/><Relationship Id="rId4" Type="http://schemas.openxmlformats.org/officeDocument/2006/relationships/control" Target="../activeX/activeX23.xml"/><Relationship Id="rId9" Type="http://schemas.openxmlformats.org/officeDocument/2006/relationships/image" Target="../media/image28.emf"/></Relationships>
</file>

<file path=xl/worksheets/_rels/sheet5.xml.rels><?xml version="1.0" encoding="UTF-8" standalone="yes"?>
<Relationships xmlns="http://schemas.openxmlformats.org/package/2006/relationships"><Relationship Id="rId8" Type="http://schemas.openxmlformats.org/officeDocument/2006/relationships/control" Target="../activeX/activeX29.xml"/><Relationship Id="rId3" Type="http://schemas.openxmlformats.org/officeDocument/2006/relationships/vmlDrawing" Target="../drawings/vmlDrawing5.vml"/><Relationship Id="rId7" Type="http://schemas.openxmlformats.org/officeDocument/2006/relationships/image" Target="../media/image32.emf"/><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ntrol" Target="../activeX/activeX28.xml"/><Relationship Id="rId5" Type="http://schemas.openxmlformats.org/officeDocument/2006/relationships/image" Target="../media/image31.emf"/><Relationship Id="rId4" Type="http://schemas.openxmlformats.org/officeDocument/2006/relationships/control" Target="../activeX/activeX27.xml"/><Relationship Id="rId9" Type="http://schemas.openxmlformats.org/officeDocument/2006/relationships/image" Target="../media/image33.emf"/></Relationships>
</file>

<file path=xl/worksheets/_rels/sheet6.xml.rels><?xml version="1.0" encoding="UTF-8" standalone="yes"?>
<Relationships xmlns="http://schemas.openxmlformats.org/package/2006/relationships"><Relationship Id="rId8" Type="http://schemas.openxmlformats.org/officeDocument/2006/relationships/control" Target="../activeX/activeX32.xml"/><Relationship Id="rId3" Type="http://schemas.openxmlformats.org/officeDocument/2006/relationships/vmlDrawing" Target="../drawings/vmlDrawing6.vml"/><Relationship Id="rId7" Type="http://schemas.openxmlformats.org/officeDocument/2006/relationships/image" Target="../media/image35.emf"/><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ntrol" Target="../activeX/activeX31.xml"/><Relationship Id="rId5" Type="http://schemas.openxmlformats.org/officeDocument/2006/relationships/image" Target="../media/image34.emf"/><Relationship Id="rId4" Type="http://schemas.openxmlformats.org/officeDocument/2006/relationships/control" Target="../activeX/activeX30.xml"/><Relationship Id="rId9" Type="http://schemas.openxmlformats.org/officeDocument/2006/relationships/image" Target="../media/image36.emf"/></Relationships>
</file>

<file path=xl/worksheets/_rels/sheet7.xml.rels><?xml version="1.0" encoding="UTF-8" standalone="yes"?>
<Relationships xmlns="http://schemas.openxmlformats.org/package/2006/relationships"><Relationship Id="rId8" Type="http://schemas.openxmlformats.org/officeDocument/2006/relationships/control" Target="../activeX/activeX35.xml"/><Relationship Id="rId3" Type="http://schemas.openxmlformats.org/officeDocument/2006/relationships/vmlDrawing" Target="../drawings/vmlDrawing7.vml"/><Relationship Id="rId7" Type="http://schemas.openxmlformats.org/officeDocument/2006/relationships/image" Target="../media/image38.emf"/><Relationship Id="rId2" Type="http://schemas.openxmlformats.org/officeDocument/2006/relationships/drawing" Target="../drawings/drawing7.xml"/><Relationship Id="rId1" Type="http://schemas.openxmlformats.org/officeDocument/2006/relationships/printerSettings" Target="../printerSettings/printerSettings7.bin"/><Relationship Id="rId6" Type="http://schemas.openxmlformats.org/officeDocument/2006/relationships/control" Target="../activeX/activeX34.xml"/><Relationship Id="rId5" Type="http://schemas.openxmlformats.org/officeDocument/2006/relationships/image" Target="../media/image37.emf"/><Relationship Id="rId4" Type="http://schemas.openxmlformats.org/officeDocument/2006/relationships/control" Target="../activeX/activeX33.xml"/><Relationship Id="rId9" Type="http://schemas.openxmlformats.org/officeDocument/2006/relationships/image" Target="../media/image39.emf"/></Relationships>
</file>

<file path=xl/worksheets/_rels/sheet8.xml.rels><?xml version="1.0" encoding="UTF-8" standalone="yes"?>
<Relationships xmlns="http://schemas.openxmlformats.org/package/2006/relationships"><Relationship Id="rId8" Type="http://schemas.openxmlformats.org/officeDocument/2006/relationships/control" Target="../activeX/activeX38.xml"/><Relationship Id="rId3" Type="http://schemas.openxmlformats.org/officeDocument/2006/relationships/vmlDrawing" Target="../drawings/vmlDrawing8.vml"/><Relationship Id="rId7" Type="http://schemas.openxmlformats.org/officeDocument/2006/relationships/image" Target="../media/image42.emf"/><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ontrol" Target="../activeX/activeX37.xml"/><Relationship Id="rId5" Type="http://schemas.openxmlformats.org/officeDocument/2006/relationships/image" Target="../media/image41.emf"/><Relationship Id="rId4" Type="http://schemas.openxmlformats.org/officeDocument/2006/relationships/control" Target="../activeX/activeX36.xml"/><Relationship Id="rId9" Type="http://schemas.openxmlformats.org/officeDocument/2006/relationships/image" Target="../media/image43.emf"/></Relationships>
</file>

<file path=xl/worksheets/_rels/sheet9.xml.rels><?xml version="1.0" encoding="UTF-8" standalone="yes"?>
<Relationships xmlns="http://schemas.openxmlformats.org/package/2006/relationships"><Relationship Id="rId8" Type="http://schemas.openxmlformats.org/officeDocument/2006/relationships/control" Target="../activeX/activeX41.xml"/><Relationship Id="rId3" Type="http://schemas.openxmlformats.org/officeDocument/2006/relationships/vmlDrawing" Target="../drawings/vmlDrawing9.vml"/><Relationship Id="rId7" Type="http://schemas.openxmlformats.org/officeDocument/2006/relationships/image" Target="../media/image45.emf"/><Relationship Id="rId2" Type="http://schemas.openxmlformats.org/officeDocument/2006/relationships/drawing" Target="../drawings/drawing9.xml"/><Relationship Id="rId1" Type="http://schemas.openxmlformats.org/officeDocument/2006/relationships/printerSettings" Target="../printerSettings/printerSettings9.bin"/><Relationship Id="rId6" Type="http://schemas.openxmlformats.org/officeDocument/2006/relationships/control" Target="../activeX/activeX40.xml"/><Relationship Id="rId5" Type="http://schemas.openxmlformats.org/officeDocument/2006/relationships/image" Target="../media/image44.emf"/><Relationship Id="rId4" Type="http://schemas.openxmlformats.org/officeDocument/2006/relationships/control" Target="../activeX/activeX39.xml"/><Relationship Id="rId9" Type="http://schemas.openxmlformats.org/officeDocument/2006/relationships/image" Target="../media/image46.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6"/>
  <dimension ref="A1:AG285"/>
  <sheetViews>
    <sheetView topLeftCell="A22" zoomScaleNormal="100" zoomScalePageLayoutView="85" workbookViewId="0">
      <selection activeCell="J14" sqref="J14"/>
    </sheetView>
  </sheetViews>
  <sheetFormatPr defaultRowHeight="12.75"/>
  <cols>
    <col min="1" max="1" width="9.140625" customWidth="1"/>
    <col min="3" max="3" width="14.28515625" customWidth="1"/>
    <col min="4" max="4" width="31.85546875" customWidth="1"/>
    <col min="5" max="5" width="10.85546875" customWidth="1"/>
    <col min="6" max="6" width="11.85546875" customWidth="1"/>
    <col min="7" max="7" width="9.85546875" customWidth="1"/>
    <col min="9" max="9" width="10.140625" customWidth="1"/>
    <col min="10" max="10" width="9.42578125" customWidth="1"/>
  </cols>
  <sheetData>
    <row r="1" spans="1:33" ht="147.7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c r="AF1" s="230"/>
      <c r="AG1" s="230"/>
    </row>
    <row r="2" spans="1:33" ht="54"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c r="AF2" s="230"/>
      <c r="AG2" s="230"/>
    </row>
    <row r="3" spans="1:33" ht="23.25">
      <c r="A3" s="730" t="s">
        <v>772</v>
      </c>
      <c r="B3" s="731"/>
      <c r="C3" s="731"/>
      <c r="D3" s="731"/>
      <c r="E3" s="731"/>
      <c r="F3" s="731"/>
      <c r="G3" s="732" t="s">
        <v>1171</v>
      </c>
      <c r="H3" s="733" t="s">
        <v>1296</v>
      </c>
      <c r="I3" s="734"/>
      <c r="J3" s="734"/>
      <c r="K3" s="734"/>
      <c r="L3" s="230"/>
      <c r="M3" s="230"/>
      <c r="N3" s="230"/>
      <c r="O3" s="230"/>
      <c r="P3" s="230"/>
      <c r="Q3" s="230"/>
      <c r="R3" s="230"/>
      <c r="S3" s="230"/>
      <c r="T3" s="230"/>
      <c r="U3" s="230"/>
      <c r="V3" s="230"/>
      <c r="W3" s="230"/>
      <c r="X3" s="230"/>
      <c r="Y3" s="230"/>
      <c r="Z3" s="230"/>
      <c r="AA3" s="230"/>
      <c r="AB3" s="230"/>
      <c r="AC3" s="230"/>
      <c r="AD3" s="230"/>
      <c r="AE3" s="230"/>
      <c r="AF3" s="230"/>
      <c r="AG3" s="230"/>
    </row>
    <row r="4" spans="1:33" ht="70.5" customHeight="1">
      <c r="A4" s="1149" t="s">
        <v>1297</v>
      </c>
      <c r="B4" s="1149"/>
      <c r="C4" s="1149"/>
      <c r="D4" s="1149"/>
      <c r="E4" s="1149"/>
      <c r="F4" s="1149"/>
      <c r="G4" s="1149"/>
      <c r="H4" s="1149"/>
      <c r="I4" s="1149"/>
      <c r="J4" s="1149"/>
      <c r="K4" s="1150"/>
      <c r="L4" s="230"/>
      <c r="M4" s="230"/>
      <c r="N4" s="230"/>
      <c r="O4" s="230"/>
      <c r="P4" s="230"/>
      <c r="Q4" s="230"/>
      <c r="R4" s="230"/>
      <c r="S4" s="230"/>
      <c r="T4" s="230"/>
      <c r="U4" s="230"/>
      <c r="V4" s="230"/>
      <c r="W4" s="230"/>
      <c r="X4" s="230"/>
      <c r="Y4" s="230"/>
      <c r="Z4" s="230"/>
      <c r="AA4" s="230"/>
      <c r="AB4" s="230"/>
      <c r="AC4" s="230"/>
      <c r="AD4" s="230"/>
      <c r="AE4" s="230"/>
      <c r="AF4" s="230"/>
      <c r="AG4" s="230"/>
    </row>
    <row r="5" spans="1:33" ht="16.5" customHeight="1">
      <c r="A5" s="230"/>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c r="AF5" s="230"/>
      <c r="AG5" s="230"/>
    </row>
    <row r="6" spans="1:33" ht="35.25" customHeight="1">
      <c r="A6" s="1158" t="s">
        <v>793</v>
      </c>
      <c r="B6" s="1158"/>
      <c r="C6" s="1158"/>
      <c r="D6" s="1158"/>
      <c r="E6" s="1158"/>
      <c r="F6" s="1158"/>
      <c r="G6" s="1158"/>
      <c r="H6" s="1158"/>
      <c r="I6" s="1158"/>
      <c r="J6" s="1158"/>
      <c r="K6" s="1159"/>
      <c r="L6" s="230"/>
      <c r="M6" s="230"/>
      <c r="N6" s="230"/>
      <c r="O6" s="230"/>
      <c r="P6" s="230"/>
      <c r="Q6" s="230"/>
      <c r="R6" s="230"/>
      <c r="S6" s="230"/>
      <c r="T6" s="230"/>
      <c r="U6" s="230"/>
      <c r="V6" s="230"/>
      <c r="W6" s="230"/>
      <c r="X6" s="230"/>
      <c r="Y6" s="230"/>
      <c r="Z6" s="230"/>
      <c r="AA6" s="230"/>
      <c r="AB6" s="230"/>
      <c r="AC6" s="230"/>
      <c r="AD6" s="230"/>
      <c r="AE6" s="230"/>
      <c r="AF6" s="230"/>
      <c r="AG6" s="230"/>
    </row>
    <row r="7" spans="1:33" ht="14.25">
      <c r="A7" s="736"/>
      <c r="B7" s="738" t="s">
        <v>794</v>
      </c>
      <c r="C7" s="737"/>
      <c r="D7" s="1128" t="s">
        <v>1073</v>
      </c>
      <c r="E7" s="1128"/>
      <c r="F7" s="1128"/>
      <c r="G7" s="1128"/>
      <c r="H7" s="1128"/>
      <c r="I7" s="1128"/>
      <c r="J7" s="1128"/>
      <c r="K7" s="1129"/>
      <c r="L7" s="230"/>
      <c r="M7" s="230"/>
      <c r="N7" s="230"/>
      <c r="O7" s="230"/>
      <c r="P7" s="230"/>
      <c r="Q7" s="230"/>
      <c r="R7" s="230"/>
      <c r="S7" s="230"/>
      <c r="T7" s="230"/>
      <c r="U7" s="230"/>
      <c r="V7" s="230"/>
      <c r="W7" s="230"/>
      <c r="X7" s="230"/>
      <c r="Y7" s="230"/>
      <c r="Z7" s="230"/>
      <c r="AA7" s="230"/>
      <c r="AB7" s="230"/>
      <c r="AC7" s="230"/>
      <c r="AD7" s="230"/>
      <c r="AE7" s="230"/>
      <c r="AF7" s="230"/>
      <c r="AG7" s="230"/>
    </row>
    <row r="8" spans="1:33" ht="6" customHeight="1">
      <c r="A8" s="260"/>
      <c r="B8" s="573"/>
      <c r="C8" s="573"/>
      <c r="D8" s="572"/>
      <c r="E8" s="572"/>
      <c r="F8" s="572"/>
      <c r="G8" s="572"/>
      <c r="H8" s="572"/>
      <c r="I8" s="572"/>
      <c r="J8" s="573"/>
      <c r="K8" s="573"/>
      <c r="L8" s="230"/>
      <c r="M8" s="230"/>
      <c r="N8" s="230"/>
      <c r="O8" s="230"/>
      <c r="P8" s="230"/>
      <c r="Q8" s="230"/>
      <c r="R8" s="230"/>
      <c r="S8" s="230"/>
      <c r="T8" s="230"/>
      <c r="U8" s="230"/>
      <c r="V8" s="230"/>
      <c r="W8" s="230"/>
      <c r="X8" s="230"/>
      <c r="Y8" s="230"/>
      <c r="Z8" s="230"/>
      <c r="AA8" s="230"/>
      <c r="AB8" s="230"/>
      <c r="AC8" s="230"/>
      <c r="AD8" s="230"/>
      <c r="AE8" s="230"/>
      <c r="AF8" s="230"/>
      <c r="AG8" s="230"/>
    </row>
    <row r="9" spans="1:33" ht="15.75">
      <c r="A9" s="1125" t="s">
        <v>642</v>
      </c>
      <c r="B9" s="1126"/>
      <c r="C9" s="1126"/>
      <c r="D9" s="1126"/>
      <c r="E9" s="1126"/>
      <c r="F9" s="1126"/>
      <c r="G9" s="1126"/>
      <c r="H9" s="1126"/>
      <c r="I9" s="1126"/>
      <c r="J9" s="1126"/>
      <c r="K9" s="1127"/>
      <c r="L9" s="230"/>
      <c r="M9" s="230"/>
      <c r="N9" s="230"/>
      <c r="O9" s="230"/>
      <c r="P9" s="230"/>
      <c r="Q9" s="230"/>
      <c r="R9" s="230"/>
      <c r="S9" s="230"/>
      <c r="T9" s="230"/>
      <c r="U9" s="230"/>
      <c r="V9" s="230"/>
      <c r="W9" s="230"/>
      <c r="X9" s="230"/>
      <c r="Y9" s="230"/>
      <c r="Z9" s="230"/>
      <c r="AA9" s="230"/>
      <c r="AB9" s="230"/>
      <c r="AC9" s="230"/>
      <c r="AD9" s="230"/>
      <c r="AE9" s="230"/>
      <c r="AF9" s="230"/>
      <c r="AG9" s="230"/>
    </row>
    <row r="10" spans="1:33" ht="56.25" customHeight="1">
      <c r="A10" s="456"/>
      <c r="B10" s="1151" t="s">
        <v>795</v>
      </c>
      <c r="C10" s="1151"/>
      <c r="D10" s="1151"/>
      <c r="E10" s="1151"/>
      <c r="F10" s="1151"/>
      <c r="G10" s="1151"/>
      <c r="H10" s="1151"/>
      <c r="I10" s="1151"/>
      <c r="J10" s="1151"/>
      <c r="K10" s="1152"/>
      <c r="L10" s="230"/>
      <c r="M10" s="229"/>
      <c r="N10" s="284"/>
      <c r="O10" s="230"/>
      <c r="P10" s="230"/>
      <c r="Q10" s="230"/>
      <c r="R10" s="230"/>
      <c r="S10" s="230"/>
      <c r="T10" s="230"/>
      <c r="U10" s="230"/>
      <c r="V10" s="230"/>
      <c r="W10" s="230"/>
      <c r="X10" s="230"/>
      <c r="Y10" s="230"/>
      <c r="Z10" s="230"/>
      <c r="AA10" s="230"/>
      <c r="AB10" s="230"/>
      <c r="AC10" s="230"/>
      <c r="AD10" s="230"/>
      <c r="AE10" s="230"/>
      <c r="AF10" s="230"/>
      <c r="AG10" s="230"/>
    </row>
    <row r="11" spans="1:33" ht="14.25" customHeight="1">
      <c r="A11" s="457"/>
      <c r="B11" s="739"/>
      <c r="C11" s="1153" t="s">
        <v>379</v>
      </c>
      <c r="D11" s="1153"/>
      <c r="E11" s="1153"/>
      <c r="F11" s="1153"/>
      <c r="G11" s="1153"/>
      <c r="H11" s="1153"/>
      <c r="I11" s="1153"/>
      <c r="J11" s="1153"/>
      <c r="K11" s="1154"/>
      <c r="L11" s="230"/>
      <c r="M11" s="229"/>
      <c r="N11" s="284"/>
      <c r="O11" s="230"/>
      <c r="P11" s="230"/>
      <c r="Q11" s="230"/>
      <c r="R11" s="230"/>
      <c r="S11" s="230"/>
      <c r="T11" s="230"/>
      <c r="U11" s="230"/>
      <c r="V11" s="230"/>
      <c r="W11" s="230"/>
      <c r="X11" s="230"/>
      <c r="Y11" s="230"/>
      <c r="Z11" s="230"/>
      <c r="AA11" s="230"/>
      <c r="AB11" s="230"/>
      <c r="AC11" s="230"/>
      <c r="AD11" s="230"/>
      <c r="AE11" s="230"/>
      <c r="AF11" s="230"/>
      <c r="AG11" s="230"/>
    </row>
    <row r="12" spans="1:33" s="26" customFormat="1" ht="54.75" customHeight="1">
      <c r="A12" s="693"/>
      <c r="B12" s="1141" t="s">
        <v>796</v>
      </c>
      <c r="C12" s="1141"/>
      <c r="D12" s="1141"/>
      <c r="E12" s="1141"/>
      <c r="F12" s="1141"/>
      <c r="G12" s="1141"/>
      <c r="H12" s="1141"/>
      <c r="I12" s="1141"/>
      <c r="J12" s="1141"/>
      <c r="K12" s="1136"/>
      <c r="L12" s="462"/>
      <c r="M12" s="694"/>
      <c r="N12" s="475"/>
      <c r="O12" s="462"/>
      <c r="P12" s="462"/>
      <c r="Q12" s="462"/>
      <c r="R12" s="462"/>
      <c r="S12" s="462"/>
      <c r="T12" s="462"/>
      <c r="U12" s="462"/>
      <c r="V12" s="462"/>
      <c r="W12" s="462"/>
      <c r="X12" s="462"/>
      <c r="Y12" s="462"/>
      <c r="Z12" s="462"/>
      <c r="AA12" s="462"/>
      <c r="AB12" s="462"/>
      <c r="AC12" s="462"/>
      <c r="AD12" s="462"/>
      <c r="AE12" s="462"/>
      <c r="AF12" s="462"/>
      <c r="AG12" s="462"/>
    </row>
    <row r="13" spans="1:33" ht="6.75" customHeight="1">
      <c r="A13" s="458"/>
      <c r="B13" s="689"/>
      <c r="C13" s="689"/>
      <c r="D13" s="689"/>
      <c r="E13" s="689"/>
      <c r="F13" s="689"/>
      <c r="G13" s="689"/>
      <c r="H13" s="689"/>
      <c r="I13" s="689"/>
      <c r="J13" s="689"/>
      <c r="K13" s="690"/>
      <c r="L13" s="230"/>
      <c r="M13" s="229"/>
      <c r="N13" s="230"/>
      <c r="O13" s="230"/>
      <c r="P13" s="230"/>
      <c r="Q13" s="230"/>
      <c r="R13" s="230"/>
      <c r="S13" s="230"/>
      <c r="T13" s="230"/>
      <c r="U13" s="230"/>
      <c r="V13" s="230"/>
      <c r="W13" s="230"/>
      <c r="X13" s="230"/>
      <c r="Y13" s="230"/>
      <c r="Z13" s="230"/>
      <c r="AA13" s="230"/>
      <c r="AB13" s="230"/>
      <c r="AC13" s="230"/>
      <c r="AD13" s="230"/>
      <c r="AE13" s="230"/>
      <c r="AF13" s="230"/>
      <c r="AG13" s="230"/>
    </row>
    <row r="14" spans="1:33" ht="17.25" customHeight="1">
      <c r="A14" s="458"/>
      <c r="B14" s="689"/>
      <c r="C14" s="691"/>
      <c r="D14" s="748" t="s">
        <v>389</v>
      </c>
      <c r="E14" s="691"/>
      <c r="F14" s="691"/>
      <c r="G14" s="691"/>
      <c r="H14" s="689"/>
      <c r="I14" s="689"/>
      <c r="J14" s="689"/>
      <c r="K14" s="690"/>
      <c r="M14" s="257" t="s">
        <v>298</v>
      </c>
      <c r="N14" s="257" t="s">
        <v>298</v>
      </c>
      <c r="O14" s="257" t="s">
        <v>298</v>
      </c>
      <c r="P14" s="257" t="s">
        <v>298</v>
      </c>
      <c r="Q14" s="257" t="s">
        <v>298</v>
      </c>
      <c r="R14" s="257" t="s">
        <v>298</v>
      </c>
      <c r="S14" s="230"/>
      <c r="T14" s="230"/>
      <c r="U14" s="230"/>
      <c r="V14" s="230"/>
      <c r="W14" s="230"/>
      <c r="X14" s="230"/>
      <c r="Y14" s="230"/>
      <c r="Z14" s="230"/>
      <c r="AA14" s="230"/>
      <c r="AB14" s="230"/>
      <c r="AC14" s="230"/>
      <c r="AD14" s="230"/>
      <c r="AE14" s="230"/>
      <c r="AF14" s="230"/>
      <c r="AG14" s="230"/>
    </row>
    <row r="15" spans="1:33" ht="43.5" customHeight="1">
      <c r="A15" s="459"/>
      <c r="B15" s="1142" t="s">
        <v>797</v>
      </c>
      <c r="C15" s="1142"/>
      <c r="D15" s="1142"/>
      <c r="E15" s="1142"/>
      <c r="F15" s="1142"/>
      <c r="G15" s="1142"/>
      <c r="H15" s="1142"/>
      <c r="I15" s="1142"/>
      <c r="J15" s="1142"/>
      <c r="K15" s="1143"/>
      <c r="L15" s="257" t="s">
        <v>298</v>
      </c>
      <c r="M15" s="257" t="s">
        <v>298</v>
      </c>
      <c r="N15" s="230"/>
      <c r="O15" s="230"/>
      <c r="P15" s="230"/>
      <c r="Q15" s="230"/>
      <c r="R15" s="230"/>
      <c r="S15" s="230"/>
      <c r="T15" s="230"/>
      <c r="U15" s="230"/>
      <c r="V15" s="230"/>
      <c r="W15" s="230"/>
      <c r="X15" s="230"/>
      <c r="Y15" s="230"/>
      <c r="Z15" s="230"/>
      <c r="AA15" s="230"/>
      <c r="AB15" s="230"/>
      <c r="AC15" s="230"/>
      <c r="AD15" s="230"/>
      <c r="AE15" s="230"/>
      <c r="AF15" s="230"/>
      <c r="AG15" s="230"/>
    </row>
    <row r="16" spans="1:33" ht="6" customHeight="1">
      <c r="A16" s="460"/>
      <c r="B16" s="451"/>
      <c r="C16" s="451"/>
      <c r="D16" s="451"/>
      <c r="E16" s="451"/>
      <c r="F16" s="451"/>
      <c r="G16" s="451"/>
      <c r="H16" s="451"/>
      <c r="I16" s="451"/>
      <c r="J16" s="451"/>
      <c r="K16" s="451"/>
      <c r="L16" s="230"/>
      <c r="M16" s="257"/>
      <c r="N16" s="230"/>
      <c r="O16" s="230"/>
      <c r="P16" s="230"/>
      <c r="Q16" s="230"/>
      <c r="R16" s="230"/>
      <c r="S16" s="230"/>
      <c r="T16" s="230"/>
      <c r="U16" s="230"/>
      <c r="V16" s="230"/>
      <c r="W16" s="230"/>
      <c r="X16" s="230"/>
      <c r="Y16" s="230"/>
      <c r="Z16" s="230"/>
      <c r="AA16" s="230"/>
      <c r="AB16" s="230"/>
      <c r="AC16" s="230"/>
      <c r="AD16" s="230"/>
      <c r="AE16" s="230"/>
      <c r="AF16" s="230"/>
      <c r="AG16" s="230"/>
    </row>
    <row r="17" spans="1:33" ht="15.75">
      <c r="A17" s="740" t="s">
        <v>798</v>
      </c>
      <c r="B17" s="741"/>
      <c r="C17" s="741"/>
      <c r="D17" s="741"/>
      <c r="E17" s="741"/>
      <c r="F17" s="741"/>
      <c r="G17" s="741"/>
      <c r="H17" s="741"/>
      <c r="I17" s="741"/>
      <c r="J17" s="741"/>
      <c r="K17" s="742"/>
      <c r="L17" s="230"/>
      <c r="M17" s="230"/>
      <c r="N17" s="230"/>
      <c r="O17" s="230"/>
      <c r="P17" s="230"/>
      <c r="Q17" s="230"/>
      <c r="R17" s="230"/>
      <c r="S17" s="230"/>
      <c r="T17" s="230"/>
      <c r="U17" s="230"/>
      <c r="V17" s="230"/>
      <c r="W17" s="230"/>
      <c r="X17" s="230"/>
      <c r="Y17" s="230"/>
      <c r="Z17" s="230"/>
      <c r="AA17" s="230"/>
      <c r="AB17" s="230"/>
      <c r="AC17" s="230"/>
      <c r="AD17" s="230"/>
      <c r="AE17" s="230"/>
      <c r="AF17" s="230"/>
      <c r="AG17" s="230"/>
    </row>
    <row r="18" spans="1:33" ht="33.75" customHeight="1">
      <c r="A18" s="1144" t="s">
        <v>1075</v>
      </c>
      <c r="B18" s="1145"/>
      <c r="C18" s="1145"/>
      <c r="D18" s="1145"/>
      <c r="E18" s="1145"/>
      <c r="F18" s="1145"/>
      <c r="G18" s="1145"/>
      <c r="H18" s="1145"/>
      <c r="I18" s="1145"/>
      <c r="J18" s="1145"/>
      <c r="K18" s="1146"/>
      <c r="L18" s="230"/>
      <c r="M18" s="230"/>
      <c r="N18" s="230"/>
      <c r="O18" s="230"/>
      <c r="P18" s="230"/>
      <c r="Q18" s="230"/>
      <c r="R18" s="230"/>
      <c r="S18" s="230"/>
      <c r="T18" s="230"/>
      <c r="U18" s="230"/>
      <c r="V18" s="230"/>
      <c r="W18" s="230"/>
      <c r="X18" s="230"/>
      <c r="Y18" s="230"/>
      <c r="Z18" s="230"/>
      <c r="AA18" s="230"/>
      <c r="AB18" s="230"/>
      <c r="AC18" s="230"/>
      <c r="AD18" s="230"/>
      <c r="AE18" s="230"/>
      <c r="AF18" s="230"/>
      <c r="AG18" s="230"/>
    </row>
    <row r="19" spans="1:33" ht="30.75" customHeight="1">
      <c r="A19" s="1134" t="s">
        <v>829</v>
      </c>
      <c r="B19" s="1147"/>
      <c r="C19" s="1147"/>
      <c r="D19" s="1147"/>
      <c r="E19" s="1147"/>
      <c r="F19" s="1147"/>
      <c r="G19" s="1147"/>
      <c r="H19" s="1147"/>
      <c r="I19" s="1147"/>
      <c r="J19" s="1147"/>
      <c r="K19" s="1148"/>
      <c r="L19" s="230"/>
      <c r="M19" s="230"/>
      <c r="N19" s="230"/>
      <c r="O19" s="230"/>
      <c r="P19" s="230"/>
      <c r="Q19" s="230"/>
      <c r="R19" s="230"/>
      <c r="S19" s="230"/>
      <c r="T19" s="230"/>
      <c r="U19" s="230"/>
      <c r="V19" s="230"/>
      <c r="W19" s="230"/>
      <c r="X19" s="230"/>
      <c r="Y19" s="230"/>
      <c r="Z19" s="230"/>
      <c r="AA19" s="230"/>
      <c r="AB19" s="230"/>
      <c r="AC19" s="230"/>
      <c r="AD19" s="230"/>
      <c r="AE19" s="230"/>
      <c r="AF19" s="230"/>
      <c r="AG19" s="230"/>
    </row>
    <row r="20" spans="1:33" ht="33.75" customHeight="1">
      <c r="A20" s="1134" t="s">
        <v>799</v>
      </c>
      <c r="B20" s="1135"/>
      <c r="C20" s="1135"/>
      <c r="D20" s="1135"/>
      <c r="E20" s="1135"/>
      <c r="F20" s="1135"/>
      <c r="G20" s="1135"/>
      <c r="H20" s="1135"/>
      <c r="I20" s="1135"/>
      <c r="J20" s="1135"/>
      <c r="K20" s="1136"/>
      <c r="L20" s="230"/>
      <c r="M20" s="230"/>
      <c r="N20" s="230"/>
      <c r="O20" s="230"/>
      <c r="P20" s="230"/>
      <c r="Q20" s="230"/>
      <c r="R20" s="230"/>
      <c r="S20" s="230"/>
      <c r="T20" s="230"/>
      <c r="U20" s="230"/>
      <c r="V20" s="230"/>
      <c r="W20" s="230"/>
      <c r="X20" s="230"/>
      <c r="Y20" s="230"/>
      <c r="Z20" s="230"/>
      <c r="AA20" s="230"/>
      <c r="AB20" s="230"/>
      <c r="AC20" s="230"/>
      <c r="AD20" s="230"/>
      <c r="AE20" s="230"/>
      <c r="AF20" s="230"/>
      <c r="AG20" s="230"/>
    </row>
    <row r="21" spans="1:33" ht="17.25" customHeight="1">
      <c r="A21" s="1134" t="s">
        <v>800</v>
      </c>
      <c r="B21" s="1147"/>
      <c r="C21" s="1147"/>
      <c r="D21" s="1147"/>
      <c r="E21" s="1147"/>
      <c r="F21" s="1147"/>
      <c r="G21" s="1147"/>
      <c r="H21" s="1147"/>
      <c r="I21" s="1147"/>
      <c r="J21" s="1147"/>
      <c r="K21" s="1148"/>
      <c r="L21" s="230"/>
      <c r="M21" s="230"/>
      <c r="N21" s="230"/>
      <c r="O21" s="230"/>
      <c r="P21" s="230"/>
      <c r="Q21" s="230"/>
      <c r="R21" s="230"/>
      <c r="S21" s="230"/>
      <c r="T21" s="230"/>
      <c r="U21" s="230"/>
      <c r="V21" s="230"/>
      <c r="W21" s="230"/>
      <c r="X21" s="230"/>
      <c r="Y21" s="230"/>
      <c r="Z21" s="230"/>
      <c r="AA21" s="230"/>
      <c r="AB21" s="230"/>
      <c r="AC21" s="230"/>
      <c r="AD21" s="230"/>
      <c r="AE21" s="230"/>
      <c r="AF21" s="230"/>
      <c r="AG21" s="230"/>
    </row>
    <row r="22" spans="1:33" ht="13.5" thickBot="1">
      <c r="A22" s="371"/>
      <c r="B22" s="372"/>
      <c r="C22" s="260"/>
      <c r="D22" s="260"/>
      <c r="E22" s="260"/>
      <c r="F22" s="260"/>
      <c r="G22" s="260"/>
      <c r="H22" s="260"/>
      <c r="I22" s="260"/>
      <c r="J22" s="260"/>
      <c r="K22" s="373"/>
      <c r="L22" s="230"/>
      <c r="M22" s="230"/>
      <c r="N22" s="230"/>
      <c r="O22" s="230"/>
      <c r="P22" s="230"/>
      <c r="Q22" s="230"/>
      <c r="R22" s="230"/>
      <c r="S22" s="230"/>
      <c r="T22" s="230"/>
      <c r="U22" s="230"/>
      <c r="V22" s="230"/>
      <c r="W22" s="230"/>
      <c r="X22" s="230"/>
      <c r="Y22" s="230"/>
      <c r="Z22" s="230"/>
      <c r="AA22" s="230"/>
      <c r="AB22" s="230"/>
      <c r="AC22" s="230"/>
      <c r="AD22" s="230"/>
      <c r="AE22" s="230"/>
      <c r="AF22" s="230"/>
      <c r="AG22" s="230"/>
    </row>
    <row r="23" spans="1:33" ht="13.5" thickBot="1">
      <c r="A23" s="457"/>
      <c r="B23" s="324"/>
      <c r="C23" s="324"/>
      <c r="D23" s="378" t="s">
        <v>390</v>
      </c>
      <c r="E23" s="1138" t="s">
        <v>329</v>
      </c>
      <c r="F23" s="1139"/>
      <c r="G23" s="1139"/>
      <c r="H23" s="1139"/>
      <c r="I23" s="1140"/>
      <c r="J23" s="324"/>
      <c r="K23" s="373"/>
      <c r="L23" s="230"/>
      <c r="M23" s="230"/>
      <c r="N23" s="230"/>
      <c r="O23" s="230"/>
      <c r="P23" s="230"/>
      <c r="Q23" s="230"/>
      <c r="R23" s="230"/>
      <c r="S23" s="230"/>
      <c r="T23" s="230"/>
      <c r="U23" s="230"/>
      <c r="V23" s="230"/>
      <c r="W23" s="230"/>
      <c r="X23" s="230"/>
      <c r="Y23" s="230"/>
      <c r="Z23" s="230"/>
      <c r="AA23" s="230"/>
      <c r="AB23" s="230"/>
      <c r="AC23" s="230"/>
      <c r="AD23" s="230"/>
      <c r="AE23" s="230"/>
      <c r="AF23" s="230"/>
      <c r="AG23" s="230"/>
    </row>
    <row r="24" spans="1:33">
      <c r="A24" s="457"/>
      <c r="B24" s="324"/>
      <c r="C24" s="324"/>
      <c r="D24" s="370"/>
      <c r="E24" s="363"/>
      <c r="F24" s="363"/>
      <c r="G24" s="363"/>
      <c r="H24" s="363"/>
      <c r="I24" s="364"/>
      <c r="J24" s="324"/>
      <c r="K24" s="373"/>
      <c r="L24" s="230"/>
      <c r="M24" s="230"/>
      <c r="N24" s="230"/>
      <c r="O24" s="230"/>
      <c r="P24" s="230"/>
      <c r="Q24" s="230"/>
      <c r="R24" s="230"/>
      <c r="S24" s="230"/>
      <c r="T24" s="230"/>
      <c r="U24" s="230"/>
      <c r="V24" s="230"/>
      <c r="W24" s="230"/>
      <c r="X24" s="230"/>
      <c r="Y24" s="230"/>
      <c r="Z24" s="230"/>
      <c r="AA24" s="230"/>
      <c r="AB24" s="230"/>
      <c r="AC24" s="230"/>
      <c r="AD24" s="230"/>
      <c r="AE24" s="230"/>
      <c r="AF24" s="230"/>
      <c r="AG24" s="230"/>
    </row>
    <row r="25" spans="1:33" ht="14.25">
      <c r="A25" s="457"/>
      <c r="B25" s="324"/>
      <c r="C25" s="324"/>
      <c r="D25" s="368"/>
      <c r="E25" s="1137" t="s">
        <v>1348</v>
      </c>
      <c r="F25" s="1137"/>
      <c r="G25" s="324"/>
      <c r="H25" s="324"/>
      <c r="I25" s="365"/>
      <c r="J25" s="324"/>
      <c r="K25" s="373"/>
      <c r="L25" s="230"/>
      <c r="M25" s="230"/>
      <c r="N25" s="230"/>
      <c r="O25" s="230"/>
      <c r="P25" s="230"/>
      <c r="Q25" s="230"/>
      <c r="R25" s="230"/>
      <c r="S25" s="230"/>
      <c r="T25" s="230"/>
      <c r="U25" s="230"/>
      <c r="V25" s="230"/>
      <c r="W25" s="230"/>
      <c r="X25" s="230"/>
      <c r="Y25" s="230"/>
      <c r="Z25" s="230"/>
      <c r="AA25" s="230"/>
      <c r="AB25" s="230"/>
      <c r="AC25" s="230"/>
      <c r="AD25" s="230"/>
      <c r="AE25" s="230"/>
      <c r="AF25" s="230"/>
      <c r="AG25" s="230"/>
    </row>
    <row r="26" spans="1:33" ht="13.5" thickBot="1">
      <c r="A26" s="457"/>
      <c r="B26" s="324"/>
      <c r="C26" s="324"/>
      <c r="D26" s="368"/>
      <c r="E26" s="366"/>
      <c r="F26" s="366"/>
      <c r="G26" s="366"/>
      <c r="H26" s="366"/>
      <c r="I26" s="367"/>
      <c r="J26" s="324"/>
      <c r="K26" s="373"/>
      <c r="L26" s="230"/>
      <c r="M26" s="230"/>
      <c r="N26" s="230"/>
      <c r="O26" s="230"/>
      <c r="P26" s="230"/>
      <c r="Q26" s="230"/>
      <c r="R26" s="230"/>
      <c r="S26" s="230"/>
      <c r="T26" s="230"/>
      <c r="U26" s="230"/>
      <c r="V26" s="230"/>
      <c r="W26" s="230"/>
      <c r="X26" s="230"/>
      <c r="Y26" s="230"/>
      <c r="Z26" s="230"/>
      <c r="AA26" s="230"/>
      <c r="AB26" s="230"/>
      <c r="AC26" s="230"/>
      <c r="AD26" s="230"/>
      <c r="AE26" s="230"/>
      <c r="AF26" s="230"/>
      <c r="AG26" s="230"/>
    </row>
    <row r="27" spans="1:33">
      <c r="A27" s="457"/>
      <c r="B27" s="324"/>
      <c r="C27" s="324"/>
      <c r="D27" s="368"/>
      <c r="E27" s="1088"/>
      <c r="F27" s="324"/>
      <c r="G27" s="324"/>
      <c r="H27" s="324"/>
      <c r="I27" s="324"/>
      <c r="J27" s="324"/>
      <c r="K27" s="373"/>
      <c r="L27" s="230"/>
      <c r="M27" s="230"/>
      <c r="N27" s="230"/>
      <c r="O27" s="230"/>
      <c r="P27" s="230"/>
      <c r="Q27" s="230"/>
      <c r="R27" s="230"/>
      <c r="S27" s="230"/>
      <c r="T27" s="230"/>
      <c r="U27" s="230"/>
      <c r="V27" s="230"/>
      <c r="W27" s="230"/>
      <c r="X27" s="230"/>
      <c r="Y27" s="230"/>
      <c r="Z27" s="230"/>
      <c r="AA27" s="230"/>
      <c r="AB27" s="230"/>
      <c r="AC27" s="230"/>
      <c r="AD27" s="230"/>
      <c r="AE27" s="230"/>
      <c r="AF27" s="230"/>
      <c r="AG27" s="230"/>
    </row>
    <row r="28" spans="1:33">
      <c r="A28" s="457"/>
      <c r="B28" s="324"/>
      <c r="C28" s="324"/>
      <c r="D28" s="368"/>
      <c r="E28" s="324"/>
      <c r="F28" s="324"/>
      <c r="G28" s="324"/>
      <c r="H28" s="324"/>
      <c r="I28" s="324"/>
      <c r="J28" s="324"/>
      <c r="K28" s="373"/>
      <c r="L28" s="230"/>
      <c r="M28" s="230"/>
      <c r="N28" s="230"/>
      <c r="O28" s="230"/>
      <c r="P28" s="230"/>
      <c r="Q28" s="230"/>
      <c r="R28" s="230"/>
      <c r="S28" s="230"/>
      <c r="T28" s="230"/>
      <c r="U28" s="230"/>
      <c r="V28" s="230"/>
      <c r="W28" s="230"/>
      <c r="X28" s="230"/>
      <c r="Y28" s="230"/>
      <c r="Z28" s="230"/>
      <c r="AA28" s="230"/>
      <c r="AB28" s="230"/>
      <c r="AC28" s="230"/>
      <c r="AD28" s="230"/>
      <c r="AE28" s="230"/>
      <c r="AF28" s="230"/>
      <c r="AG28" s="230"/>
    </row>
    <row r="29" spans="1:33">
      <c r="A29" s="457"/>
      <c r="B29" s="324"/>
      <c r="C29" s="324"/>
      <c r="D29" s="368"/>
      <c r="E29" s="324"/>
      <c r="F29" s="324"/>
      <c r="G29" s="324"/>
      <c r="H29" s="324"/>
      <c r="I29" s="324"/>
      <c r="J29" s="324"/>
      <c r="K29" s="373"/>
      <c r="L29" s="230"/>
      <c r="M29" s="230"/>
      <c r="N29" s="230"/>
      <c r="O29" s="230"/>
      <c r="P29" s="230"/>
      <c r="Q29" s="230"/>
      <c r="R29" s="230"/>
      <c r="S29" s="230"/>
      <c r="T29" s="230"/>
      <c r="U29" s="230"/>
      <c r="V29" s="230"/>
      <c r="W29" s="230"/>
      <c r="X29" s="230"/>
      <c r="Y29" s="230"/>
      <c r="Z29" s="230"/>
      <c r="AA29" s="230"/>
      <c r="AB29" s="230"/>
      <c r="AC29" s="230"/>
      <c r="AD29" s="230"/>
      <c r="AE29" s="230"/>
      <c r="AF29" s="230"/>
      <c r="AG29" s="230"/>
    </row>
    <row r="30" spans="1:33">
      <c r="A30" s="457"/>
      <c r="B30" s="324"/>
      <c r="C30" s="324"/>
      <c r="D30" s="368"/>
      <c r="E30" s="324"/>
      <c r="F30" s="324"/>
      <c r="G30" s="324"/>
      <c r="H30" s="324"/>
      <c r="I30" s="324"/>
      <c r="J30" s="324"/>
      <c r="K30" s="373"/>
      <c r="L30" s="230"/>
      <c r="M30" s="230"/>
      <c r="N30" s="230"/>
      <c r="O30" s="230"/>
      <c r="P30" s="230"/>
      <c r="Q30" s="230"/>
      <c r="R30" s="230"/>
      <c r="S30" s="230"/>
      <c r="T30" s="230"/>
      <c r="U30" s="230"/>
      <c r="V30" s="230"/>
      <c r="W30" s="230"/>
      <c r="X30" s="230"/>
      <c r="Y30" s="230"/>
      <c r="Z30" s="230"/>
      <c r="AA30" s="230"/>
      <c r="AB30" s="230"/>
      <c r="AC30" s="230"/>
      <c r="AD30" s="230"/>
      <c r="AE30" s="230"/>
      <c r="AF30" s="230"/>
      <c r="AG30" s="230"/>
    </row>
    <row r="31" spans="1:33">
      <c r="A31" s="457"/>
      <c r="B31" s="324"/>
      <c r="C31" s="324"/>
      <c r="D31" s="368"/>
      <c r="E31" s="324"/>
      <c r="F31" s="324"/>
      <c r="G31" s="324"/>
      <c r="H31" s="324"/>
      <c r="I31" s="324"/>
      <c r="J31" s="324"/>
      <c r="K31" s="373"/>
      <c r="L31" s="230"/>
      <c r="M31" s="230"/>
      <c r="N31" s="230"/>
      <c r="O31" s="230"/>
      <c r="P31" s="230"/>
      <c r="Q31" s="230"/>
      <c r="R31" s="230"/>
      <c r="S31" s="230"/>
      <c r="T31" s="230"/>
      <c r="U31" s="230"/>
      <c r="V31" s="230"/>
      <c r="W31" s="230"/>
      <c r="X31" s="230"/>
      <c r="Y31" s="230"/>
      <c r="Z31" s="230"/>
      <c r="AA31" s="230"/>
      <c r="AB31" s="230"/>
      <c r="AC31" s="230"/>
      <c r="AD31" s="230"/>
      <c r="AE31" s="230"/>
      <c r="AF31" s="230"/>
      <c r="AG31" s="230"/>
    </row>
    <row r="32" spans="1:33" ht="13.5" thickBot="1">
      <c r="A32" s="457"/>
      <c r="B32" s="324"/>
      <c r="C32" s="324"/>
      <c r="D32" s="369"/>
      <c r="E32" s="324"/>
      <c r="F32" s="324"/>
      <c r="G32" s="324"/>
      <c r="H32" s="324"/>
      <c r="I32" s="324"/>
      <c r="J32" s="324"/>
      <c r="K32" s="373"/>
      <c r="L32" s="230"/>
      <c r="M32" s="230"/>
      <c r="N32" s="230"/>
      <c r="O32" s="230"/>
      <c r="P32" s="230"/>
      <c r="Q32" s="230"/>
      <c r="R32" s="230"/>
      <c r="S32" s="230"/>
      <c r="T32" s="230"/>
      <c r="U32" s="230"/>
      <c r="V32" s="230"/>
      <c r="W32" s="230"/>
      <c r="X32" s="230"/>
      <c r="Y32" s="230"/>
      <c r="Z32" s="230"/>
      <c r="AA32" s="230"/>
      <c r="AB32" s="230"/>
      <c r="AC32" s="230"/>
      <c r="AD32" s="230"/>
      <c r="AE32" s="230"/>
      <c r="AF32" s="230"/>
      <c r="AG32" s="230"/>
    </row>
    <row r="33" spans="1:33">
      <c r="A33" s="461"/>
      <c r="B33" s="374"/>
      <c r="C33" s="374"/>
      <c r="D33" s="374"/>
      <c r="E33" s="374"/>
      <c r="F33" s="374"/>
      <c r="G33" s="374"/>
      <c r="H33" s="374"/>
      <c r="I33" s="374"/>
      <c r="J33" s="374"/>
      <c r="K33" s="375"/>
      <c r="L33" s="230"/>
      <c r="M33" s="230"/>
      <c r="N33" s="230"/>
      <c r="O33" s="230"/>
      <c r="P33" s="230"/>
      <c r="Q33" s="230"/>
      <c r="R33" s="230"/>
      <c r="S33" s="230"/>
      <c r="T33" s="230"/>
      <c r="U33" s="230"/>
      <c r="V33" s="230"/>
      <c r="W33" s="230"/>
      <c r="X33" s="230"/>
      <c r="Y33" s="230"/>
      <c r="Z33" s="230"/>
      <c r="AA33" s="230"/>
      <c r="AB33" s="230"/>
      <c r="AC33" s="230"/>
      <c r="AD33" s="230"/>
      <c r="AE33" s="230"/>
      <c r="AF33" s="230"/>
      <c r="AG33" s="230"/>
    </row>
    <row r="34" spans="1:33" ht="6" customHeight="1">
      <c r="A34" s="324"/>
      <c r="B34" s="324"/>
      <c r="C34" s="324"/>
      <c r="D34" s="324"/>
      <c r="E34" s="324"/>
      <c r="F34" s="324"/>
      <c r="G34" s="324"/>
      <c r="H34" s="324"/>
      <c r="I34" s="324"/>
      <c r="J34" s="324"/>
      <c r="K34" s="324"/>
      <c r="L34" s="230"/>
      <c r="M34" s="230"/>
      <c r="N34" s="230"/>
      <c r="O34" s="230"/>
      <c r="P34" s="230"/>
      <c r="Q34" s="230"/>
      <c r="R34" s="230"/>
      <c r="S34" s="230"/>
      <c r="T34" s="230"/>
      <c r="U34" s="230"/>
      <c r="V34" s="230"/>
      <c r="W34" s="230"/>
      <c r="X34" s="230"/>
      <c r="Y34" s="230"/>
      <c r="Z34" s="230"/>
      <c r="AA34" s="230"/>
      <c r="AB34" s="230"/>
      <c r="AC34" s="230"/>
      <c r="AD34" s="230"/>
      <c r="AE34" s="230"/>
      <c r="AF34" s="230"/>
      <c r="AG34" s="230"/>
    </row>
    <row r="35" spans="1:33" ht="15">
      <c r="A35" s="745" t="s">
        <v>801</v>
      </c>
      <c r="B35" s="746"/>
      <c r="C35" s="746"/>
      <c r="D35" s="746"/>
      <c r="E35" s="746"/>
      <c r="F35" s="746"/>
      <c r="G35" s="746"/>
      <c r="H35" s="746"/>
      <c r="I35" s="747"/>
      <c r="J35" s="746"/>
      <c r="K35" s="744"/>
      <c r="L35" s="230"/>
      <c r="M35" s="230"/>
      <c r="N35" s="230"/>
      <c r="O35" s="230"/>
      <c r="P35" s="230"/>
      <c r="Q35" s="230"/>
      <c r="R35" s="230"/>
      <c r="S35" s="230"/>
      <c r="T35" s="230"/>
      <c r="U35" s="230"/>
      <c r="V35" s="230"/>
      <c r="W35" s="230"/>
      <c r="X35" s="230"/>
      <c r="Y35" s="230"/>
      <c r="Z35" s="230"/>
      <c r="AA35" s="230"/>
      <c r="AB35" s="230"/>
      <c r="AC35" s="230"/>
      <c r="AD35" s="230"/>
      <c r="AE35" s="230"/>
      <c r="AF35" s="230"/>
      <c r="AG35" s="230"/>
    </row>
    <row r="36" spans="1:33" ht="54.75" customHeight="1">
      <c r="A36" s="1155" t="s">
        <v>1076</v>
      </c>
      <c r="B36" s="1156"/>
      <c r="C36" s="1156"/>
      <c r="D36" s="1156"/>
      <c r="E36" s="1156"/>
      <c r="F36" s="1156"/>
      <c r="G36" s="1156"/>
      <c r="H36" s="1156"/>
      <c r="I36" s="1156"/>
      <c r="J36" s="1156"/>
      <c r="K36" s="1157"/>
      <c r="L36" s="230"/>
      <c r="M36" s="230"/>
      <c r="N36" s="230"/>
      <c r="O36" s="230"/>
      <c r="P36" s="230"/>
      <c r="Q36" s="230"/>
      <c r="R36" s="230"/>
      <c r="S36" s="230"/>
      <c r="T36" s="230"/>
      <c r="U36" s="230"/>
      <c r="V36" s="230"/>
      <c r="W36" s="230"/>
      <c r="X36" s="230"/>
      <c r="Y36" s="230"/>
      <c r="Z36" s="230"/>
      <c r="AA36" s="230"/>
      <c r="AB36" s="230"/>
      <c r="AC36" s="230"/>
      <c r="AD36" s="230"/>
      <c r="AE36" s="230"/>
      <c r="AF36" s="230"/>
      <c r="AG36" s="230"/>
    </row>
    <row r="37" spans="1:33" ht="41.25" customHeight="1">
      <c r="A37" s="1131" t="s">
        <v>1081</v>
      </c>
      <c r="B37" s="1132"/>
      <c r="C37" s="1132"/>
      <c r="D37" s="1132"/>
      <c r="E37" s="1132"/>
      <c r="F37" s="1132"/>
      <c r="G37" s="1132"/>
      <c r="H37" s="1132"/>
      <c r="I37" s="1132"/>
      <c r="J37" s="1132"/>
      <c r="K37" s="1133"/>
      <c r="L37" s="230"/>
      <c r="M37" s="230"/>
      <c r="N37" s="359"/>
      <c r="O37" s="230"/>
      <c r="P37" s="230"/>
      <c r="Q37" s="230"/>
      <c r="R37" s="230"/>
      <c r="S37" s="230"/>
      <c r="T37" s="230"/>
      <c r="U37" s="230"/>
      <c r="V37" s="230"/>
      <c r="W37" s="230"/>
      <c r="X37" s="230"/>
      <c r="Y37" s="230"/>
      <c r="Z37" s="230"/>
      <c r="AA37" s="230"/>
      <c r="AB37" s="230"/>
      <c r="AC37" s="230"/>
      <c r="AD37" s="230"/>
      <c r="AE37" s="230"/>
      <c r="AF37" s="230"/>
      <c r="AG37" s="230"/>
    </row>
    <row r="38" spans="1:33" s="8" customFormat="1">
      <c r="A38" s="743"/>
      <c r="B38" s="1123" t="s">
        <v>1080</v>
      </c>
      <c r="C38" s="1123"/>
      <c r="D38" s="1123"/>
      <c r="E38" s="1123"/>
      <c r="F38" s="1123"/>
      <c r="G38" s="1123"/>
      <c r="H38" s="1123"/>
      <c r="I38" s="1123"/>
      <c r="J38" s="1123"/>
      <c r="K38" s="1124"/>
      <c r="L38" s="230"/>
      <c r="M38" s="230"/>
      <c r="N38" s="359"/>
      <c r="O38" s="257"/>
      <c r="P38" s="257"/>
      <c r="Q38" s="257"/>
      <c r="R38" s="257"/>
      <c r="S38" s="257"/>
      <c r="T38" s="257"/>
      <c r="U38" s="257"/>
      <c r="V38" s="257"/>
      <c r="W38" s="257"/>
      <c r="X38" s="257"/>
      <c r="Y38" s="257"/>
      <c r="Z38" s="257"/>
      <c r="AA38" s="257"/>
      <c r="AB38" s="257"/>
      <c r="AC38" s="257"/>
      <c r="AD38" s="257"/>
      <c r="AE38" s="257"/>
      <c r="AF38" s="257"/>
      <c r="AG38" s="257"/>
    </row>
    <row r="39" spans="1:33" ht="20.25" customHeight="1">
      <c r="A39" s="1120" t="s">
        <v>1082</v>
      </c>
      <c r="B39" s="1121"/>
      <c r="C39" s="1121"/>
      <c r="D39" s="1121"/>
      <c r="E39" s="1121"/>
      <c r="F39" s="1121"/>
      <c r="G39" s="1121"/>
      <c r="H39" s="1121"/>
      <c r="I39" s="1121"/>
      <c r="J39" s="1121"/>
      <c r="K39" s="1122"/>
      <c r="L39" s="230"/>
      <c r="M39" s="230"/>
      <c r="N39" s="359"/>
      <c r="O39" s="230"/>
      <c r="P39" s="230"/>
      <c r="Q39" s="230"/>
      <c r="R39" s="230"/>
      <c r="S39" s="230"/>
      <c r="T39" s="230"/>
      <c r="U39" s="230"/>
      <c r="V39" s="230"/>
      <c r="W39" s="230"/>
      <c r="X39" s="230"/>
      <c r="Y39" s="230"/>
      <c r="Z39" s="230"/>
      <c r="AA39" s="230"/>
      <c r="AB39" s="230"/>
      <c r="AC39" s="230"/>
      <c r="AD39" s="230"/>
      <c r="AE39" s="230"/>
      <c r="AF39" s="230"/>
      <c r="AG39" s="230"/>
    </row>
    <row r="40" spans="1:33">
      <c r="A40" s="230"/>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c r="AE40" s="230"/>
      <c r="AF40" s="230"/>
      <c r="AG40" s="230"/>
    </row>
    <row r="41" spans="1:33">
      <c r="A41" s="1130"/>
      <c r="B41" s="1130"/>
      <c r="C41" s="1130"/>
      <c r="D41" s="1130"/>
      <c r="E41" s="1130"/>
      <c r="F41" s="1130"/>
      <c r="G41" s="1130"/>
      <c r="H41" s="1130"/>
      <c r="I41" s="1130"/>
      <c r="J41" s="1130"/>
      <c r="K41" s="1130"/>
      <c r="L41" s="230"/>
      <c r="M41" s="230"/>
      <c r="N41" s="230"/>
      <c r="O41" s="230"/>
      <c r="P41" s="230"/>
      <c r="Q41" s="230"/>
      <c r="R41" s="230"/>
      <c r="S41" s="230"/>
      <c r="T41" s="230"/>
      <c r="U41" s="230"/>
      <c r="V41" s="230"/>
      <c r="W41" s="230"/>
      <c r="X41" s="230"/>
      <c r="Y41" s="230"/>
      <c r="Z41" s="230"/>
      <c r="AA41" s="230"/>
      <c r="AB41" s="230"/>
      <c r="AC41" s="230"/>
      <c r="AD41" s="230"/>
      <c r="AE41" s="230"/>
      <c r="AF41" s="230"/>
      <c r="AG41" s="230"/>
    </row>
    <row r="42" spans="1:33">
      <c r="A42" s="1130"/>
      <c r="B42" s="1130"/>
      <c r="C42" s="1130"/>
      <c r="D42" s="1130"/>
      <c r="E42" s="1130"/>
      <c r="F42" s="1130"/>
      <c r="G42" s="1130"/>
      <c r="H42" s="1130"/>
      <c r="I42" s="1130"/>
      <c r="J42" s="1130"/>
      <c r="K42" s="1130"/>
      <c r="L42" s="230"/>
      <c r="M42" s="230"/>
      <c r="N42" s="230"/>
      <c r="O42" s="230"/>
      <c r="P42" s="230"/>
      <c r="Q42" s="230"/>
      <c r="R42" s="230"/>
      <c r="S42" s="230"/>
      <c r="T42" s="230"/>
      <c r="U42" s="230"/>
      <c r="V42" s="230"/>
      <c r="W42" s="230"/>
      <c r="X42" s="230"/>
      <c r="Y42" s="230"/>
      <c r="Z42" s="230"/>
      <c r="AA42" s="230"/>
      <c r="AB42" s="230"/>
      <c r="AC42" s="230"/>
      <c r="AD42" s="230"/>
      <c r="AE42" s="230"/>
      <c r="AF42" s="230"/>
      <c r="AG42" s="230"/>
    </row>
    <row r="43" spans="1:33">
      <c r="A43" s="230"/>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c r="AE43" s="230"/>
      <c r="AF43" s="230"/>
      <c r="AG43" s="230"/>
    </row>
    <row r="44" spans="1:33">
      <c r="A44" s="230"/>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c r="AE44" s="230"/>
      <c r="AF44" s="230"/>
      <c r="AG44" s="230"/>
    </row>
    <row r="45" spans="1:33">
      <c r="A45" s="230"/>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c r="AE45" s="230"/>
      <c r="AF45" s="230"/>
      <c r="AG45" s="230"/>
    </row>
    <row r="46" spans="1:33">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c r="AE46" s="230"/>
      <c r="AF46" s="230"/>
      <c r="AG46" s="230"/>
    </row>
    <row r="47" spans="1:33">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c r="AE47" s="230"/>
      <c r="AF47" s="230"/>
      <c r="AG47" s="230"/>
    </row>
    <row r="48" spans="1:33">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c r="AE48" s="230"/>
      <c r="AF48" s="230"/>
      <c r="AG48" s="230"/>
    </row>
    <row r="49" spans="1:33">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c r="AE49" s="230"/>
      <c r="AF49" s="230"/>
      <c r="AG49" s="230"/>
    </row>
    <row r="50" spans="1:33">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c r="AE50" s="230"/>
      <c r="AF50" s="230"/>
      <c r="AG50" s="230"/>
    </row>
    <row r="51" spans="1:33">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c r="AE51" s="230"/>
      <c r="AF51" s="230"/>
      <c r="AG51" s="230"/>
    </row>
    <row r="52" spans="1:33">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c r="AE52" s="230"/>
      <c r="AF52" s="230"/>
      <c r="AG52" s="230"/>
    </row>
    <row r="53" spans="1:33">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c r="AE53" s="230"/>
      <c r="AF53" s="230"/>
      <c r="AG53" s="230"/>
    </row>
    <row r="54" spans="1:33">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c r="AE54" s="230"/>
      <c r="AF54" s="230"/>
      <c r="AG54" s="230"/>
    </row>
    <row r="55" spans="1:33">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row>
    <row r="56" spans="1:33">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c r="AE56" s="230"/>
      <c r="AF56" s="230"/>
      <c r="AG56" s="230"/>
    </row>
    <row r="57" spans="1:33">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c r="AE57" s="230"/>
      <c r="AF57" s="230"/>
      <c r="AG57" s="230"/>
    </row>
    <row r="58" spans="1:33">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c r="AE58" s="230"/>
      <c r="AF58" s="230"/>
      <c r="AG58" s="230"/>
    </row>
    <row r="59" spans="1:33">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c r="AE59" s="230"/>
      <c r="AF59" s="230"/>
      <c r="AG59" s="230"/>
    </row>
    <row r="60" spans="1:33">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c r="AE60" s="230"/>
      <c r="AF60" s="230"/>
      <c r="AG60" s="230"/>
    </row>
    <row r="61" spans="1:33">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c r="AE61" s="230"/>
      <c r="AF61" s="230"/>
      <c r="AG61" s="230"/>
    </row>
    <row r="62" spans="1:33">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row>
    <row r="63" spans="1:33">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c r="AE63" s="230"/>
      <c r="AF63" s="230"/>
      <c r="AG63" s="230"/>
    </row>
    <row r="64" spans="1:33">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c r="AF64" s="230"/>
      <c r="AG64" s="230"/>
    </row>
    <row r="65" spans="1:33">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c r="AF65" s="230"/>
      <c r="AG65" s="230"/>
    </row>
    <row r="66" spans="1:33">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c r="AF66" s="230"/>
      <c r="AG66" s="230"/>
    </row>
    <row r="67" spans="1:33">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c r="AF67" s="230"/>
      <c r="AG67" s="230"/>
    </row>
    <row r="68" spans="1:33">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c r="AF68" s="230"/>
      <c r="AG68" s="230"/>
    </row>
    <row r="69" spans="1:33">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c r="AF69" s="230"/>
      <c r="AG69" s="230"/>
    </row>
    <row r="70" spans="1:33">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c r="AF70" s="230"/>
      <c r="AG70" s="230"/>
    </row>
    <row r="71" spans="1:33">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c r="AF71" s="230"/>
      <c r="AG71" s="230"/>
    </row>
    <row r="72" spans="1:33">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row>
    <row r="73" spans="1:33">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c r="AF73" s="230"/>
      <c r="AG73" s="230"/>
    </row>
    <row r="74" spans="1:33">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c r="AF74" s="230"/>
      <c r="AG74" s="230"/>
    </row>
    <row r="75" spans="1:33">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c r="AF75" s="230"/>
      <c r="AG75" s="230"/>
    </row>
    <row r="76" spans="1:33">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c r="AF76" s="230"/>
      <c r="AG76" s="230"/>
    </row>
    <row r="77" spans="1:33">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c r="AF77" s="230"/>
      <c r="AG77" s="230"/>
    </row>
    <row r="78" spans="1:33">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c r="AF78" s="230"/>
      <c r="AG78" s="230"/>
    </row>
    <row r="79" spans="1:33">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c r="AF79" s="230"/>
      <c r="AG79" s="230"/>
    </row>
    <row r="80" spans="1:33">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row>
    <row r="81" spans="1:33">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c r="AF81" s="230"/>
      <c r="AG81" s="230"/>
    </row>
    <row r="82" spans="1:33">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c r="AF82" s="230"/>
      <c r="AG82" s="230"/>
    </row>
    <row r="83" spans="1:33">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c r="AF83" s="230"/>
      <c r="AG83" s="230"/>
    </row>
    <row r="84" spans="1:33">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c r="AF84" s="230"/>
      <c r="AG84" s="230"/>
    </row>
    <row r="85" spans="1:33">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c r="AF85" s="230"/>
      <c r="AG85" s="230"/>
    </row>
    <row r="86" spans="1:33">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c r="AF86" s="230"/>
      <c r="AG86" s="230"/>
    </row>
    <row r="87" spans="1:33">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c r="AF87" s="230"/>
      <c r="AG87" s="230"/>
    </row>
    <row r="88" spans="1:33">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row>
    <row r="89" spans="1:33">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row>
    <row r="90" spans="1:33">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c r="AF90" s="230"/>
      <c r="AG90" s="230"/>
    </row>
    <row r="91" spans="1:33">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c r="AF91" s="230"/>
      <c r="AG91" s="230"/>
    </row>
    <row r="92" spans="1:33">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c r="AF92" s="230"/>
      <c r="AG92" s="230"/>
    </row>
    <row r="93" spans="1:33">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c r="AF93" s="230"/>
      <c r="AG93" s="230"/>
    </row>
    <row r="94" spans="1:33">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c r="AF94" s="230"/>
      <c r="AG94" s="230"/>
    </row>
    <row r="95" spans="1:33">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c r="AF95" s="230"/>
      <c r="AG95" s="230"/>
    </row>
    <row r="96" spans="1:33">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c r="AF96" s="230"/>
      <c r="AG96" s="230"/>
    </row>
    <row r="97" spans="1:33">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c r="AF97" s="230"/>
      <c r="AG97" s="230"/>
    </row>
    <row r="98" spans="1:33">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c r="AF98" s="230"/>
      <c r="AG98" s="230"/>
    </row>
    <row r="99" spans="1:33">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c r="AF99" s="230"/>
      <c r="AG99" s="230"/>
    </row>
    <row r="100" spans="1:33">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c r="AF100" s="230"/>
      <c r="AG100" s="230"/>
    </row>
    <row r="101" spans="1:33">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c r="AF101" s="230"/>
      <c r="AG101" s="230"/>
    </row>
    <row r="102" spans="1:33">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c r="AF102" s="230"/>
      <c r="AG102" s="230"/>
    </row>
    <row r="103" spans="1:33">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c r="AF103" s="230"/>
      <c r="AG103" s="230"/>
    </row>
    <row r="104" spans="1:33">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c r="AF104" s="230"/>
      <c r="AG104" s="230"/>
    </row>
    <row r="105" spans="1:33">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c r="AF105" s="230"/>
      <c r="AG105" s="230"/>
    </row>
    <row r="106" spans="1:33">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row>
    <row r="107" spans="1:33">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c r="AF107" s="230"/>
      <c r="AG107" s="230"/>
    </row>
    <row r="108" spans="1:33">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c r="AF108" s="230"/>
      <c r="AG108" s="230"/>
    </row>
    <row r="109" spans="1:33">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c r="AF109" s="230"/>
      <c r="AG109" s="230"/>
    </row>
    <row r="110" spans="1:33">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c r="AF110" s="230"/>
      <c r="AG110" s="230"/>
    </row>
    <row r="111" spans="1:33">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c r="AF111" s="230"/>
      <c r="AG111" s="230"/>
    </row>
    <row r="112" spans="1:33">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c r="AF112" s="230"/>
      <c r="AG112" s="230"/>
    </row>
    <row r="113" spans="1:33">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c r="AF113" s="230"/>
      <c r="AG113" s="230"/>
    </row>
    <row r="114" spans="1:33">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c r="AF114" s="230"/>
      <c r="AG114" s="230"/>
    </row>
    <row r="115" spans="1:33">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c r="AF115" s="230"/>
      <c r="AG115" s="230"/>
    </row>
    <row r="116" spans="1:33">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c r="AF116" s="230"/>
      <c r="AG116" s="230"/>
    </row>
    <row r="117" spans="1:33">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c r="AF117" s="230"/>
      <c r="AG117" s="230"/>
    </row>
    <row r="118" spans="1:33">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c r="AF118" s="230"/>
      <c r="AG118" s="230"/>
    </row>
    <row r="119" spans="1:33">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c r="AF119" s="230"/>
      <c r="AG119" s="230"/>
    </row>
    <row r="120" spans="1:33">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c r="AF120" s="230"/>
      <c r="AG120" s="230"/>
    </row>
    <row r="121" spans="1:33">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c r="AF121" s="230"/>
      <c r="AG121" s="230"/>
    </row>
    <row r="122" spans="1:33">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c r="AF122" s="230"/>
      <c r="AG122" s="230"/>
    </row>
    <row r="123" spans="1:33">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row>
    <row r="124" spans="1:33">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c r="AF124" s="230"/>
      <c r="AG124" s="230"/>
    </row>
    <row r="125" spans="1:33">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c r="AF125" s="230"/>
      <c r="AG125" s="230"/>
    </row>
    <row r="126" spans="1:33">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c r="AF126" s="230"/>
      <c r="AG126" s="230"/>
    </row>
    <row r="127" spans="1:33">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c r="AF127" s="230"/>
      <c r="AG127" s="230"/>
    </row>
    <row r="128" spans="1:33">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c r="AF128" s="230"/>
      <c r="AG128" s="230"/>
    </row>
    <row r="129" spans="1:33">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c r="AF129" s="230"/>
      <c r="AG129" s="230"/>
    </row>
    <row r="130" spans="1:33">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c r="AF130" s="230"/>
      <c r="AG130" s="230"/>
    </row>
    <row r="131" spans="1:33">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c r="AF131" s="230"/>
      <c r="AG131" s="230"/>
    </row>
    <row r="132" spans="1:33">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c r="AF132" s="230"/>
      <c r="AG132" s="230"/>
    </row>
    <row r="133" spans="1:33">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c r="AF133" s="230"/>
      <c r="AG133" s="230"/>
    </row>
    <row r="134" spans="1:33">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c r="AF134" s="230"/>
      <c r="AG134" s="230"/>
    </row>
    <row r="135" spans="1:33">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c r="AF135" s="230"/>
      <c r="AG135" s="230"/>
    </row>
    <row r="136" spans="1:33">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c r="AF136" s="230"/>
      <c r="AG136" s="230"/>
    </row>
    <row r="137" spans="1:33">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c r="AF137" s="230"/>
      <c r="AG137" s="230"/>
    </row>
    <row r="138" spans="1:33">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c r="AF138" s="230"/>
      <c r="AG138" s="230"/>
    </row>
    <row r="139" spans="1:33">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c r="AF139" s="230"/>
      <c r="AG139" s="230"/>
    </row>
    <row r="140" spans="1:33">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row>
    <row r="141" spans="1:33">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c r="AF141" s="230"/>
      <c r="AG141" s="230"/>
    </row>
    <row r="142" spans="1:33">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c r="AF142" s="230"/>
      <c r="AG142" s="230"/>
    </row>
    <row r="143" spans="1:33">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c r="AF143" s="230"/>
      <c r="AG143" s="230"/>
    </row>
    <row r="144" spans="1:33">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c r="AF144" s="230"/>
      <c r="AG144" s="230"/>
    </row>
    <row r="145" spans="1:33">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c r="AF145" s="230"/>
      <c r="AG145" s="230"/>
    </row>
    <row r="146" spans="1:33">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c r="AF146" s="230"/>
      <c r="AG146" s="230"/>
    </row>
    <row r="147" spans="1:33">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c r="AF147" s="230"/>
      <c r="AG147" s="230"/>
    </row>
    <row r="148" spans="1:33">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c r="AF148" s="230"/>
      <c r="AG148" s="230"/>
    </row>
    <row r="149" spans="1:33">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c r="AF149" s="230"/>
      <c r="AG149" s="230"/>
    </row>
    <row r="150" spans="1:33">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c r="AF150" s="230"/>
      <c r="AG150" s="230"/>
    </row>
    <row r="151" spans="1:33">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c r="AF151" s="230"/>
      <c r="AG151" s="230"/>
    </row>
    <row r="152" spans="1:33">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c r="AF152" s="230"/>
      <c r="AG152" s="230"/>
    </row>
    <row r="153" spans="1:33">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c r="AF153" s="230"/>
      <c r="AG153" s="230"/>
    </row>
    <row r="154" spans="1:33">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c r="AF154" s="230"/>
      <c r="AG154" s="230"/>
    </row>
    <row r="155" spans="1:33">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c r="AF155" s="230"/>
      <c r="AG155" s="230"/>
    </row>
    <row r="156" spans="1:33">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c r="AF156" s="230"/>
      <c r="AG156" s="230"/>
    </row>
    <row r="157" spans="1:33">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row>
    <row r="158" spans="1:33">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c r="AF158" s="230"/>
      <c r="AG158" s="230"/>
    </row>
    <row r="159" spans="1:33">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c r="AF159" s="230"/>
      <c r="AG159" s="230"/>
    </row>
    <row r="160" spans="1:33">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c r="AF160" s="230"/>
      <c r="AG160" s="230"/>
    </row>
    <row r="161" spans="1:33">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c r="AF161" s="230"/>
      <c r="AG161" s="230"/>
    </row>
    <row r="162" spans="1:33">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c r="AF162" s="230"/>
      <c r="AG162" s="230"/>
    </row>
    <row r="163" spans="1:33">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c r="AF163" s="230"/>
      <c r="AG163" s="230"/>
    </row>
    <row r="164" spans="1:33">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c r="AF164" s="230"/>
      <c r="AG164" s="230"/>
    </row>
    <row r="165" spans="1:33">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c r="AF165" s="230"/>
      <c r="AG165" s="230"/>
    </row>
    <row r="166" spans="1:33">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c r="AF166" s="230"/>
      <c r="AG166" s="230"/>
    </row>
    <row r="167" spans="1:33">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c r="AF167" s="230"/>
      <c r="AG167" s="230"/>
    </row>
    <row r="168" spans="1:33">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c r="AF168" s="230"/>
      <c r="AG168" s="230"/>
    </row>
    <row r="169" spans="1:33">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c r="AF169" s="230"/>
      <c r="AG169" s="230"/>
    </row>
    <row r="170" spans="1:33">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c r="AF170" s="230"/>
      <c r="AG170" s="230"/>
    </row>
    <row r="171" spans="1:33">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c r="AF171" s="230"/>
      <c r="AG171" s="230"/>
    </row>
    <row r="172" spans="1:33">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c r="AF172" s="230"/>
      <c r="AG172" s="230"/>
    </row>
    <row r="173" spans="1:33">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c r="AF173" s="230"/>
      <c r="AG173" s="230"/>
    </row>
    <row r="174" spans="1:33">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row>
    <row r="175" spans="1:33">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c r="AF175" s="230"/>
      <c r="AG175" s="230"/>
    </row>
    <row r="176" spans="1:33">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c r="AF176" s="230"/>
      <c r="AG176" s="230"/>
    </row>
    <row r="177" spans="1:33">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c r="AF177" s="230"/>
      <c r="AG177" s="230"/>
    </row>
    <row r="178" spans="1:33">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c r="AF178" s="230"/>
      <c r="AG178" s="230"/>
    </row>
    <row r="179" spans="1:33">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c r="AF179" s="230"/>
      <c r="AG179" s="230"/>
    </row>
    <row r="180" spans="1:33">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c r="AF180" s="230"/>
      <c r="AG180" s="230"/>
    </row>
    <row r="181" spans="1:33">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c r="AF181" s="230"/>
      <c r="AG181" s="230"/>
    </row>
    <row r="182" spans="1:33">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c r="AF182" s="230"/>
      <c r="AG182" s="230"/>
    </row>
    <row r="183" spans="1:33">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c r="AF183" s="230"/>
      <c r="AG183" s="230"/>
    </row>
    <row r="184" spans="1:33">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c r="AF184" s="230"/>
      <c r="AG184" s="230"/>
    </row>
    <row r="185" spans="1:33">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c r="AF185" s="230"/>
      <c r="AG185" s="230"/>
    </row>
    <row r="186" spans="1:33">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c r="AF186" s="230"/>
      <c r="AG186" s="230"/>
    </row>
    <row r="187" spans="1:33">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c r="AF187" s="230"/>
      <c r="AG187" s="230"/>
    </row>
    <row r="188" spans="1:33">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c r="AF188" s="230"/>
      <c r="AG188" s="230"/>
    </row>
    <row r="189" spans="1:33">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c r="AF189" s="230"/>
      <c r="AG189" s="230"/>
    </row>
    <row r="190" spans="1:33">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c r="AF190" s="230"/>
      <c r="AG190" s="230"/>
    </row>
    <row r="191" spans="1:33">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row>
    <row r="192" spans="1:33">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c r="AF192" s="230"/>
      <c r="AG192" s="230"/>
    </row>
    <row r="193" spans="1:33">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c r="AF193" s="230"/>
      <c r="AG193" s="230"/>
    </row>
    <row r="194" spans="1:33">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c r="AF194" s="230"/>
      <c r="AG194" s="230"/>
    </row>
    <row r="195" spans="1:33">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c r="AF195" s="230"/>
      <c r="AG195" s="230"/>
    </row>
    <row r="196" spans="1:33">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c r="AF196" s="230"/>
      <c r="AG196" s="230"/>
    </row>
    <row r="197" spans="1:33">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c r="AF197" s="230"/>
      <c r="AG197" s="230"/>
    </row>
    <row r="198" spans="1:33">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c r="AF198" s="230"/>
      <c r="AG198" s="230"/>
    </row>
    <row r="199" spans="1:33">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c r="AF199" s="230"/>
      <c r="AG199" s="230"/>
    </row>
    <row r="200" spans="1:33">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c r="AF200" s="230"/>
      <c r="AG200" s="230"/>
    </row>
    <row r="201" spans="1:33">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c r="AF201" s="230"/>
      <c r="AG201" s="230"/>
    </row>
    <row r="202" spans="1:33">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c r="AF202" s="230"/>
      <c r="AG202" s="230"/>
    </row>
    <row r="203" spans="1:33">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c r="AF203" s="230"/>
      <c r="AG203" s="230"/>
    </row>
    <row r="204" spans="1:33">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c r="AE204" s="230"/>
      <c r="AF204" s="230"/>
      <c r="AG204" s="230"/>
    </row>
    <row r="205" spans="1:33">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c r="AE205" s="230"/>
      <c r="AF205" s="230"/>
      <c r="AG205" s="230"/>
    </row>
    <row r="206" spans="1:33">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c r="AE206" s="230"/>
      <c r="AF206" s="230"/>
      <c r="AG206" s="230"/>
    </row>
    <row r="207" spans="1:33">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c r="AE207" s="230"/>
      <c r="AF207" s="230"/>
      <c r="AG207" s="230"/>
    </row>
    <row r="208" spans="1:33">
      <c r="A208" s="230"/>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row>
    <row r="209" spans="1:33">
      <c r="A209" s="230"/>
      <c r="B209" s="230"/>
      <c r="C209" s="230"/>
      <c r="D209" s="230"/>
      <c r="E209" s="230"/>
      <c r="F209" s="230"/>
      <c r="G209" s="230"/>
      <c r="H209" s="230"/>
      <c r="I209" s="230"/>
      <c r="J209" s="230"/>
      <c r="K209" s="230"/>
      <c r="L209" s="230"/>
      <c r="M209" s="230"/>
      <c r="N209" s="230"/>
      <c r="O209" s="230"/>
      <c r="P209" s="230"/>
      <c r="Q209" s="230"/>
      <c r="R209" s="230"/>
      <c r="S209" s="230"/>
      <c r="T209" s="230"/>
      <c r="U209" s="230"/>
      <c r="V209" s="230"/>
      <c r="W209" s="230"/>
      <c r="X209" s="230"/>
      <c r="Y209" s="230"/>
      <c r="Z209" s="230"/>
      <c r="AA209" s="230"/>
      <c r="AB209" s="230"/>
      <c r="AC209" s="230"/>
      <c r="AD209" s="230"/>
      <c r="AE209" s="230"/>
      <c r="AF209" s="230"/>
      <c r="AG209" s="230"/>
    </row>
    <row r="210" spans="1:33">
      <c r="A210" s="230"/>
      <c r="B210" s="230"/>
      <c r="C210" s="230"/>
      <c r="D210" s="230"/>
      <c r="E210" s="230"/>
      <c r="F210" s="230"/>
      <c r="G210" s="230"/>
      <c r="H210" s="230"/>
      <c r="I210" s="230"/>
      <c r="J210" s="230"/>
      <c r="K210" s="230"/>
      <c r="L210" s="230"/>
      <c r="M210" s="230"/>
      <c r="N210" s="230"/>
      <c r="O210" s="230"/>
      <c r="P210" s="230"/>
      <c r="Q210" s="230"/>
      <c r="R210" s="230"/>
      <c r="S210" s="230"/>
      <c r="T210" s="230"/>
      <c r="U210" s="230"/>
      <c r="V210" s="230"/>
      <c r="W210" s="230"/>
      <c r="X210" s="230"/>
      <c r="Y210" s="230"/>
      <c r="Z210" s="230"/>
      <c r="AA210" s="230"/>
      <c r="AB210" s="230"/>
      <c r="AC210" s="230"/>
      <c r="AD210" s="230"/>
      <c r="AE210" s="230"/>
      <c r="AF210" s="230"/>
      <c r="AG210" s="230"/>
    </row>
    <row r="211" spans="1:33">
      <c r="A211" s="230"/>
      <c r="B211" s="230"/>
      <c r="C211" s="230"/>
      <c r="D211" s="230"/>
      <c r="E211" s="230"/>
      <c r="F211" s="230"/>
      <c r="G211" s="230"/>
      <c r="H211" s="230"/>
      <c r="I211" s="230"/>
      <c r="J211" s="230"/>
      <c r="K211" s="230"/>
      <c r="L211" s="230"/>
      <c r="M211" s="230"/>
      <c r="N211" s="230"/>
      <c r="O211" s="230"/>
      <c r="P211" s="230"/>
      <c r="Q211" s="230"/>
      <c r="R211" s="230"/>
      <c r="S211" s="230"/>
      <c r="T211" s="230"/>
      <c r="U211" s="230"/>
      <c r="V211" s="230"/>
      <c r="W211" s="230"/>
      <c r="X211" s="230"/>
      <c r="Y211" s="230"/>
      <c r="Z211" s="230"/>
      <c r="AA211" s="230"/>
      <c r="AB211" s="230"/>
      <c r="AC211" s="230"/>
      <c r="AD211" s="230"/>
      <c r="AE211" s="230"/>
      <c r="AF211" s="230"/>
      <c r="AG211" s="230"/>
    </row>
    <row r="212" spans="1:33">
      <c r="A212" s="230"/>
      <c r="B212" s="230"/>
      <c r="C212" s="230"/>
      <c r="D212" s="230"/>
      <c r="E212" s="230"/>
      <c r="F212" s="230"/>
      <c r="G212" s="230"/>
      <c r="H212" s="230"/>
      <c r="I212" s="230"/>
      <c r="J212" s="230"/>
      <c r="K212" s="230"/>
      <c r="L212" s="230"/>
      <c r="M212" s="230"/>
      <c r="N212" s="230"/>
      <c r="O212" s="230"/>
      <c r="P212" s="230"/>
      <c r="Q212" s="230"/>
      <c r="R212" s="230"/>
      <c r="S212" s="230"/>
      <c r="T212" s="230"/>
      <c r="U212" s="230"/>
      <c r="V212" s="230"/>
      <c r="W212" s="230"/>
      <c r="X212" s="230"/>
      <c r="Y212" s="230"/>
      <c r="Z212" s="230"/>
      <c r="AA212" s="230"/>
      <c r="AB212" s="230"/>
      <c r="AC212" s="230"/>
      <c r="AD212" s="230"/>
      <c r="AE212" s="230"/>
      <c r="AF212" s="230"/>
      <c r="AG212" s="230"/>
    </row>
    <row r="213" spans="1:33">
      <c r="A213" s="230"/>
      <c r="B213" s="230"/>
      <c r="C213" s="230"/>
      <c r="D213" s="230"/>
      <c r="E213" s="230"/>
      <c r="F213" s="230"/>
      <c r="G213" s="230"/>
      <c r="H213" s="230"/>
      <c r="I213" s="230"/>
      <c r="J213" s="230"/>
      <c r="K213" s="230"/>
      <c r="L213" s="230"/>
      <c r="M213" s="230"/>
      <c r="N213" s="230"/>
      <c r="O213" s="230"/>
      <c r="P213" s="230"/>
      <c r="Q213" s="230"/>
      <c r="R213" s="230"/>
      <c r="S213" s="230"/>
      <c r="T213" s="230"/>
      <c r="U213" s="230"/>
      <c r="V213" s="230"/>
      <c r="W213" s="230"/>
      <c r="X213" s="230"/>
      <c r="Y213" s="230"/>
      <c r="Z213" s="230"/>
      <c r="AA213" s="230"/>
      <c r="AB213" s="230"/>
      <c r="AC213" s="230"/>
      <c r="AD213" s="230"/>
      <c r="AE213" s="230"/>
      <c r="AF213" s="230"/>
      <c r="AG213" s="230"/>
    </row>
    <row r="214" spans="1:33">
      <c r="A214" s="230"/>
      <c r="B214" s="230"/>
      <c r="C214" s="230"/>
      <c r="D214" s="230"/>
      <c r="E214" s="230"/>
      <c r="F214" s="230"/>
      <c r="G214" s="230"/>
      <c r="H214" s="230"/>
      <c r="I214" s="230"/>
      <c r="J214" s="230"/>
      <c r="K214" s="230"/>
      <c r="L214" s="230"/>
      <c r="M214" s="230"/>
      <c r="N214" s="230"/>
      <c r="O214" s="230"/>
      <c r="P214" s="230"/>
      <c r="Q214" s="230"/>
      <c r="R214" s="230"/>
      <c r="S214" s="230"/>
      <c r="T214" s="230"/>
      <c r="U214" s="230"/>
      <c r="V214" s="230"/>
      <c r="W214" s="230"/>
      <c r="X214" s="230"/>
      <c r="Y214" s="230"/>
      <c r="Z214" s="230"/>
      <c r="AA214" s="230"/>
      <c r="AB214" s="230"/>
      <c r="AC214" s="230"/>
      <c r="AD214" s="230"/>
      <c r="AE214" s="230"/>
      <c r="AF214" s="230"/>
      <c r="AG214" s="230"/>
    </row>
    <row r="215" spans="1:33">
      <c r="A215" s="230"/>
      <c r="B215" s="230"/>
      <c r="C215" s="230"/>
      <c r="D215" s="230"/>
      <c r="E215" s="230"/>
      <c r="F215" s="230"/>
      <c r="G215" s="230"/>
      <c r="H215" s="230"/>
      <c r="I215" s="230"/>
      <c r="J215" s="230"/>
      <c r="K215" s="230"/>
      <c r="L215" s="230"/>
      <c r="M215" s="230"/>
      <c r="N215" s="230"/>
      <c r="O215" s="230"/>
      <c r="P215" s="230"/>
      <c r="Q215" s="230"/>
      <c r="R215" s="230"/>
      <c r="S215" s="230"/>
      <c r="T215" s="230"/>
      <c r="U215" s="230"/>
      <c r="V215" s="230"/>
      <c r="W215" s="230"/>
      <c r="X215" s="230"/>
      <c r="Y215" s="230"/>
      <c r="Z215" s="230"/>
      <c r="AA215" s="230"/>
      <c r="AB215" s="230"/>
      <c r="AC215" s="230"/>
      <c r="AD215" s="230"/>
      <c r="AE215" s="230"/>
      <c r="AF215" s="230"/>
      <c r="AG215" s="230"/>
    </row>
    <row r="216" spans="1:33">
      <c r="A216" s="230"/>
      <c r="B216" s="230"/>
      <c r="C216" s="230"/>
      <c r="D216" s="230"/>
      <c r="E216" s="230"/>
      <c r="F216" s="23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c r="AE216" s="230"/>
      <c r="AF216" s="230"/>
      <c r="AG216" s="230"/>
    </row>
    <row r="217" spans="1:33">
      <c r="A217" s="230"/>
      <c r="B217" s="230"/>
      <c r="C217" s="230"/>
      <c r="D217" s="230"/>
      <c r="E217" s="230"/>
      <c r="F217" s="23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c r="AE217" s="230"/>
      <c r="AF217" s="230"/>
      <c r="AG217" s="230"/>
    </row>
    <row r="218" spans="1:33">
      <c r="A218" s="230"/>
      <c r="B218" s="230"/>
      <c r="C218" s="230"/>
      <c r="D218" s="230"/>
      <c r="E218" s="230"/>
      <c r="F218" s="230"/>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c r="AE218" s="230"/>
      <c r="AF218" s="230"/>
      <c r="AG218" s="230"/>
    </row>
    <row r="219" spans="1:33">
      <c r="A219" s="230"/>
      <c r="B219" s="230"/>
      <c r="C219" s="230"/>
      <c r="D219" s="230"/>
      <c r="E219" s="230"/>
      <c r="F219" s="230"/>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c r="AE219" s="230"/>
      <c r="AF219" s="230"/>
      <c r="AG219" s="230"/>
    </row>
    <row r="220" spans="1:33">
      <c r="A220" s="230"/>
      <c r="B220" s="230"/>
      <c r="C220" s="230"/>
      <c r="D220" s="230"/>
      <c r="E220" s="230"/>
      <c r="F220" s="230"/>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c r="AE220" s="230"/>
      <c r="AF220" s="230"/>
      <c r="AG220" s="230"/>
    </row>
    <row r="221" spans="1:33">
      <c r="A221" s="230"/>
      <c r="B221" s="230"/>
      <c r="C221" s="230"/>
      <c r="D221" s="230"/>
      <c r="E221" s="230"/>
      <c r="F221" s="23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c r="AE221" s="230"/>
      <c r="AF221" s="230"/>
      <c r="AG221" s="230"/>
    </row>
    <row r="222" spans="1:33">
      <c r="A222" s="230"/>
      <c r="B222" s="230"/>
      <c r="C222" s="230"/>
      <c r="D222" s="230"/>
      <c r="E222" s="230"/>
      <c r="F222" s="23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c r="AE222" s="230"/>
      <c r="AF222" s="230"/>
      <c r="AG222" s="230"/>
    </row>
    <row r="223" spans="1:33">
      <c r="A223" s="230"/>
      <c r="B223" s="230"/>
      <c r="C223" s="230"/>
      <c r="D223" s="230"/>
      <c r="E223" s="230"/>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c r="AE223" s="230"/>
      <c r="AF223" s="230"/>
      <c r="AG223" s="230"/>
    </row>
    <row r="224" spans="1:33">
      <c r="A224" s="230"/>
      <c r="B224" s="230"/>
      <c r="C224" s="230"/>
      <c r="D224" s="230"/>
      <c r="E224" s="2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c r="AE224" s="230"/>
      <c r="AF224" s="230"/>
      <c r="AG224" s="230"/>
    </row>
    <row r="225" spans="1:33">
      <c r="A225" s="230"/>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row>
    <row r="226" spans="1:33">
      <c r="A226" s="230"/>
      <c r="B226" s="230"/>
      <c r="C226" s="230"/>
      <c r="D226" s="230"/>
      <c r="E226" s="230"/>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c r="AE226" s="230"/>
      <c r="AF226" s="230"/>
      <c r="AG226" s="230"/>
    </row>
    <row r="227" spans="1:33">
      <c r="A227" s="230"/>
      <c r="B227" s="230"/>
      <c r="C227" s="230"/>
      <c r="D227" s="230"/>
      <c r="E227" s="230"/>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c r="AE227" s="230"/>
      <c r="AF227" s="230"/>
      <c r="AG227" s="230"/>
    </row>
    <row r="228" spans="1:33">
      <c r="A228" s="230"/>
      <c r="B228" s="230"/>
      <c r="C228" s="230"/>
      <c r="D228" s="230"/>
      <c r="E228" s="230"/>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c r="AE228" s="230"/>
      <c r="AF228" s="230"/>
      <c r="AG228" s="230"/>
    </row>
    <row r="229" spans="1:33">
      <c r="A229" s="230"/>
      <c r="B229" s="230"/>
      <c r="C229" s="230"/>
      <c r="D229" s="230"/>
      <c r="E229" s="230"/>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c r="AE229" s="230"/>
      <c r="AF229" s="230"/>
      <c r="AG229" s="230"/>
    </row>
    <row r="230" spans="1:33">
      <c r="A230" s="230"/>
      <c r="B230" s="230"/>
      <c r="C230" s="230"/>
      <c r="D230" s="230"/>
      <c r="E230" s="230"/>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c r="AE230" s="230"/>
      <c r="AF230" s="230"/>
      <c r="AG230" s="230"/>
    </row>
    <row r="231" spans="1:33">
      <c r="A231" s="230"/>
      <c r="B231" s="230"/>
      <c r="C231" s="230"/>
      <c r="D231" s="230"/>
      <c r="E231" s="230"/>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c r="AE231" s="230"/>
      <c r="AF231" s="230"/>
      <c r="AG231" s="230"/>
    </row>
    <row r="232" spans="1:33">
      <c r="A232" s="230"/>
      <c r="B232" s="230"/>
      <c r="C232" s="230"/>
      <c r="D232" s="230"/>
      <c r="E232" s="230"/>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c r="AE232" s="230"/>
      <c r="AF232" s="230"/>
      <c r="AG232" s="230"/>
    </row>
    <row r="233" spans="1:33">
      <c r="A233" s="230"/>
      <c r="B233" s="230"/>
      <c r="C233" s="230"/>
      <c r="D233" s="230"/>
      <c r="E233" s="230"/>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c r="AE233" s="230"/>
      <c r="AF233" s="230"/>
      <c r="AG233" s="230"/>
    </row>
    <row r="234" spans="1:33">
      <c r="A234" s="230"/>
      <c r="B234" s="230"/>
      <c r="C234" s="230"/>
      <c r="D234" s="230"/>
      <c r="E234" s="230"/>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c r="AE234" s="230"/>
      <c r="AF234" s="230"/>
      <c r="AG234" s="230"/>
    </row>
    <row r="235" spans="1:33">
      <c r="A235" s="230"/>
      <c r="B235" s="230"/>
      <c r="C235" s="230"/>
      <c r="D235" s="230"/>
      <c r="E235" s="230"/>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c r="AE235" s="230"/>
      <c r="AF235" s="230"/>
      <c r="AG235" s="230"/>
    </row>
    <row r="236" spans="1:33">
      <c r="A236" s="230"/>
      <c r="B236" s="230"/>
      <c r="C236" s="230"/>
      <c r="D236" s="230"/>
      <c r="E236" s="230"/>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c r="AE236" s="230"/>
      <c r="AF236" s="230"/>
      <c r="AG236" s="230"/>
    </row>
    <row r="237" spans="1:33">
      <c r="A237" s="230"/>
      <c r="B237" s="230"/>
      <c r="C237" s="230"/>
      <c r="D237" s="230"/>
      <c r="E237" s="230"/>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c r="AE237" s="230"/>
      <c r="AF237" s="230"/>
      <c r="AG237" s="230"/>
    </row>
    <row r="238" spans="1:33">
      <c r="A238" s="230"/>
      <c r="B238" s="230"/>
      <c r="C238" s="230"/>
      <c r="D238" s="230"/>
      <c r="E238" s="230"/>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c r="AE238" s="230"/>
      <c r="AF238" s="230"/>
      <c r="AG238" s="230"/>
    </row>
    <row r="239" spans="1:33">
      <c r="A239" s="230"/>
      <c r="B239" s="230"/>
      <c r="C239" s="230"/>
      <c r="D239" s="230"/>
      <c r="E239" s="230"/>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c r="AE239" s="230"/>
      <c r="AF239" s="230"/>
      <c r="AG239" s="230"/>
    </row>
    <row r="240" spans="1:33">
      <c r="A240" s="230"/>
      <c r="B240" s="230"/>
      <c r="C240" s="230"/>
      <c r="D240" s="230"/>
      <c r="E240" s="230"/>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c r="AE240" s="230"/>
      <c r="AF240" s="230"/>
      <c r="AG240" s="230"/>
    </row>
    <row r="241" spans="1:33">
      <c r="A241" s="230"/>
      <c r="B241" s="230"/>
      <c r="C241" s="230"/>
      <c r="D241" s="230"/>
      <c r="E241" s="230"/>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c r="AE241" s="230"/>
      <c r="AF241" s="230"/>
      <c r="AG241" s="230"/>
    </row>
    <row r="242" spans="1:33">
      <c r="A242" s="230"/>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row>
    <row r="243" spans="1:33">
      <c r="A243" s="230"/>
      <c r="B243" s="230"/>
      <c r="C243" s="230"/>
      <c r="D243" s="230"/>
      <c r="E243" s="230"/>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c r="AE243" s="230"/>
      <c r="AF243" s="230"/>
      <c r="AG243" s="230"/>
    </row>
    <row r="244" spans="1:33">
      <c r="A244" s="230"/>
      <c r="B244" s="230"/>
      <c r="C244" s="230"/>
      <c r="D244" s="230"/>
      <c r="E244" s="230"/>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c r="AE244" s="230"/>
      <c r="AF244" s="230"/>
      <c r="AG244" s="230"/>
    </row>
    <row r="245" spans="1:33">
      <c r="A245" s="230"/>
      <c r="B245" s="230"/>
      <c r="C245" s="230"/>
      <c r="D245" s="230"/>
      <c r="E245" s="230"/>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c r="AE245" s="230"/>
      <c r="AF245" s="230"/>
      <c r="AG245" s="230"/>
    </row>
    <row r="246" spans="1:33">
      <c r="A246" s="230"/>
      <c r="B246" s="230"/>
      <c r="C246" s="230"/>
      <c r="D246" s="230"/>
      <c r="E246" s="230"/>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c r="AE246" s="230"/>
      <c r="AF246" s="230"/>
      <c r="AG246" s="230"/>
    </row>
    <row r="247" spans="1:33">
      <c r="A247" s="230"/>
      <c r="B247" s="230"/>
      <c r="C247" s="230"/>
      <c r="D247" s="230"/>
      <c r="E247" s="230"/>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c r="AE247" s="230"/>
      <c r="AF247" s="230"/>
      <c r="AG247" s="230"/>
    </row>
    <row r="248" spans="1:33">
      <c r="A248" s="230"/>
      <c r="B248" s="230"/>
      <c r="C248" s="230"/>
      <c r="D248" s="230"/>
      <c r="E248" s="230"/>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c r="AE248" s="230"/>
      <c r="AF248" s="230"/>
      <c r="AG248" s="230"/>
    </row>
    <row r="249" spans="1:33">
      <c r="A249" s="230"/>
      <c r="B249" s="230"/>
      <c r="C249" s="230"/>
      <c r="D249" s="230"/>
      <c r="E249" s="230"/>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c r="AE249" s="230"/>
      <c r="AF249" s="230"/>
      <c r="AG249" s="230"/>
    </row>
    <row r="250" spans="1:33">
      <c r="A250" s="230"/>
      <c r="B250" s="230"/>
      <c r="C250" s="230"/>
      <c r="D250" s="230"/>
      <c r="E250" s="230"/>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c r="AE250" s="230"/>
      <c r="AF250" s="230"/>
      <c r="AG250" s="230"/>
    </row>
    <row r="251" spans="1:33">
      <c r="A251" s="230"/>
      <c r="B251" s="230"/>
      <c r="C251" s="230"/>
      <c r="D251" s="230"/>
      <c r="E251" s="230"/>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c r="AE251" s="230"/>
      <c r="AF251" s="230"/>
      <c r="AG251" s="230"/>
    </row>
    <row r="252" spans="1:33">
      <c r="A252" s="230"/>
      <c r="B252" s="230"/>
      <c r="C252" s="230"/>
      <c r="D252" s="230"/>
      <c r="E252" s="230"/>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c r="AE252" s="230"/>
      <c r="AF252" s="230"/>
      <c r="AG252" s="230"/>
    </row>
    <row r="253" spans="1:33">
      <c r="A253" s="230"/>
      <c r="B253" s="230"/>
      <c r="C253" s="230"/>
      <c r="D253" s="230"/>
      <c r="E253" s="230"/>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c r="AE253" s="230"/>
      <c r="AF253" s="230"/>
      <c r="AG253" s="230"/>
    </row>
    <row r="254" spans="1:33">
      <c r="A254" s="230"/>
      <c r="B254" s="230"/>
      <c r="C254" s="230"/>
      <c r="D254" s="230"/>
      <c r="E254" s="230"/>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c r="AE254" s="230"/>
      <c r="AF254" s="230"/>
      <c r="AG254" s="230"/>
    </row>
    <row r="255" spans="1:33">
      <c r="A255" s="230"/>
      <c r="B255" s="230"/>
      <c r="C255" s="230"/>
      <c r="D255" s="230"/>
      <c r="E255" s="230"/>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c r="AE255" s="230"/>
      <c r="AF255" s="230"/>
      <c r="AG255" s="230"/>
    </row>
    <row r="256" spans="1:33">
      <c r="A256" s="230"/>
      <c r="B256" s="230"/>
      <c r="C256" s="230"/>
      <c r="D256" s="230"/>
      <c r="E256" s="230"/>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c r="AE256" s="230"/>
      <c r="AF256" s="230"/>
      <c r="AG256" s="230"/>
    </row>
    <row r="257" spans="1:33">
      <c r="A257" s="230"/>
      <c r="B257" s="230"/>
      <c r="C257" s="230"/>
      <c r="D257" s="230"/>
      <c r="E257" s="230"/>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c r="AE257" s="230"/>
      <c r="AF257" s="230"/>
      <c r="AG257" s="230"/>
    </row>
    <row r="258" spans="1:33">
      <c r="A258" s="230"/>
      <c r="B258" s="230"/>
      <c r="C258" s="230"/>
      <c r="D258" s="230"/>
      <c r="E258" s="230"/>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c r="AE258" s="230"/>
      <c r="AF258" s="230"/>
      <c r="AG258" s="230"/>
    </row>
    <row r="259" spans="1:33">
      <c r="A259" s="230"/>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row>
    <row r="260" spans="1:33">
      <c r="A260" s="230"/>
      <c r="B260" s="230"/>
      <c r="C260" s="230"/>
      <c r="D260" s="230"/>
      <c r="E260" s="230"/>
      <c r="F260" s="230"/>
      <c r="G260" s="23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c r="AE260" s="230"/>
      <c r="AF260" s="230"/>
      <c r="AG260" s="230"/>
    </row>
    <row r="261" spans="1:33">
      <c r="A261" s="230"/>
      <c r="B261" s="230"/>
      <c r="C261" s="230"/>
      <c r="D261" s="230"/>
      <c r="E261" s="230"/>
      <c r="F261" s="230"/>
      <c r="G261" s="23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c r="AE261" s="230"/>
      <c r="AF261" s="230"/>
      <c r="AG261" s="230"/>
    </row>
    <row r="262" spans="1:33">
      <c r="A262" s="230"/>
      <c r="B262" s="230"/>
      <c r="C262" s="230"/>
      <c r="D262" s="230"/>
      <c r="E262" s="230"/>
      <c r="F262" s="230"/>
      <c r="G262" s="23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c r="AE262" s="230"/>
      <c r="AF262" s="230"/>
      <c r="AG262" s="230"/>
    </row>
    <row r="263" spans="1:33">
      <c r="A263" s="230"/>
      <c r="B263" s="230"/>
      <c r="C263" s="230"/>
      <c r="D263" s="230"/>
      <c r="E263" s="230"/>
      <c r="F263" s="230"/>
      <c r="G263" s="23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c r="AE263" s="230"/>
      <c r="AF263" s="230"/>
      <c r="AG263" s="230"/>
    </row>
    <row r="264" spans="1:33">
      <c r="A264" s="230"/>
      <c r="B264" s="230"/>
      <c r="C264" s="230"/>
      <c r="D264" s="230"/>
      <c r="E264" s="230"/>
      <c r="F264" s="230"/>
      <c r="G264" s="23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c r="AE264" s="230"/>
      <c r="AF264" s="230"/>
      <c r="AG264" s="230"/>
    </row>
    <row r="265" spans="1:33">
      <c r="A265" s="230"/>
      <c r="B265" s="230"/>
      <c r="C265" s="230"/>
      <c r="D265" s="230"/>
      <c r="E265" s="230"/>
      <c r="F265" s="230"/>
      <c r="G265" s="23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c r="AE265" s="230"/>
      <c r="AF265" s="230"/>
      <c r="AG265" s="230"/>
    </row>
    <row r="266" spans="1:33">
      <c r="A266" s="230"/>
      <c r="B266" s="230"/>
      <c r="C266" s="230"/>
      <c r="D266" s="230"/>
      <c r="E266" s="230"/>
      <c r="F266" s="230"/>
      <c r="G266" s="23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c r="AE266" s="230"/>
      <c r="AF266" s="230"/>
      <c r="AG266" s="230"/>
    </row>
    <row r="267" spans="1:33">
      <c r="A267" s="230"/>
      <c r="B267" s="230"/>
      <c r="C267" s="230"/>
      <c r="D267" s="230"/>
      <c r="E267" s="230"/>
      <c r="F267" s="230"/>
      <c r="G267" s="2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c r="AE267" s="230"/>
      <c r="AF267" s="230"/>
      <c r="AG267" s="230"/>
    </row>
    <row r="268" spans="1:33">
      <c r="A268" s="230"/>
      <c r="B268" s="230"/>
      <c r="C268" s="230"/>
      <c r="D268" s="230"/>
      <c r="E268" s="230"/>
      <c r="F268" s="230"/>
      <c r="G268" s="230"/>
      <c r="H268" s="230"/>
      <c r="I268" s="230"/>
      <c r="J268" s="230"/>
      <c r="K268" s="230"/>
      <c r="L268" s="230"/>
      <c r="M268" s="230"/>
      <c r="N268" s="230"/>
      <c r="O268" s="230"/>
      <c r="P268" s="230"/>
      <c r="Q268" s="230"/>
      <c r="R268" s="230"/>
      <c r="S268" s="230"/>
      <c r="T268" s="230"/>
      <c r="U268" s="230"/>
      <c r="V268" s="230"/>
      <c r="W268" s="230"/>
      <c r="X268" s="230"/>
      <c r="Y268" s="230"/>
      <c r="Z268" s="230"/>
      <c r="AA268" s="230"/>
      <c r="AB268" s="230"/>
      <c r="AC268" s="230"/>
      <c r="AD268" s="230"/>
      <c r="AE268" s="230"/>
      <c r="AF268" s="230"/>
      <c r="AG268" s="230"/>
    </row>
    <row r="269" spans="1:33">
      <c r="A269" s="230"/>
      <c r="B269" s="230"/>
      <c r="C269" s="230"/>
      <c r="D269" s="230"/>
      <c r="E269" s="230"/>
      <c r="F269" s="230"/>
      <c r="G269" s="230"/>
      <c r="H269" s="230"/>
      <c r="I269" s="230"/>
      <c r="J269" s="230"/>
      <c r="K269" s="230"/>
      <c r="L269" s="230"/>
      <c r="M269" s="230"/>
      <c r="N269" s="230"/>
      <c r="O269" s="230"/>
      <c r="P269" s="230"/>
      <c r="Q269" s="230"/>
      <c r="R269" s="230"/>
      <c r="S269" s="230"/>
      <c r="T269" s="230"/>
      <c r="U269" s="230"/>
      <c r="V269" s="230"/>
      <c r="W269" s="230"/>
      <c r="X269" s="230"/>
      <c r="Y269" s="230"/>
      <c r="Z269" s="230"/>
      <c r="AA269" s="230"/>
      <c r="AB269" s="230"/>
      <c r="AC269" s="230"/>
      <c r="AD269" s="230"/>
      <c r="AE269" s="230"/>
      <c r="AF269" s="230"/>
      <c r="AG269" s="230"/>
    </row>
    <row r="270" spans="1:33">
      <c r="A270" s="230"/>
      <c r="B270" s="230"/>
      <c r="C270" s="230"/>
      <c r="D270" s="230"/>
      <c r="E270" s="230"/>
      <c r="F270" s="230"/>
      <c r="G270" s="230"/>
      <c r="H270" s="230"/>
      <c r="I270" s="230"/>
      <c r="J270" s="230"/>
      <c r="K270" s="230"/>
      <c r="L270" s="230"/>
      <c r="M270" s="230"/>
      <c r="N270" s="230"/>
      <c r="O270" s="230"/>
      <c r="P270" s="230"/>
      <c r="Q270" s="230"/>
      <c r="R270" s="230"/>
      <c r="S270" s="230"/>
      <c r="T270" s="230"/>
      <c r="U270" s="230"/>
      <c r="V270" s="230"/>
      <c r="W270" s="230"/>
      <c r="X270" s="230"/>
      <c r="Y270" s="230"/>
      <c r="Z270" s="230"/>
      <c r="AA270" s="230"/>
      <c r="AB270" s="230"/>
      <c r="AC270" s="230"/>
      <c r="AD270" s="230"/>
      <c r="AE270" s="230"/>
      <c r="AF270" s="230"/>
      <c r="AG270" s="230"/>
    </row>
    <row r="271" spans="1:33">
      <c r="A271" s="230"/>
      <c r="B271" s="230"/>
      <c r="C271" s="230"/>
      <c r="D271" s="230"/>
      <c r="E271" s="230"/>
      <c r="F271" s="230"/>
      <c r="G271" s="230"/>
      <c r="H271" s="230"/>
      <c r="I271" s="230"/>
      <c r="J271" s="230"/>
      <c r="K271" s="230"/>
      <c r="L271" s="230"/>
      <c r="M271" s="230"/>
      <c r="N271" s="230"/>
      <c r="O271" s="230"/>
      <c r="P271" s="230"/>
      <c r="Q271" s="230"/>
      <c r="R271" s="230"/>
      <c r="S271" s="230"/>
      <c r="T271" s="230"/>
      <c r="U271" s="230"/>
      <c r="V271" s="230"/>
      <c r="W271" s="230"/>
      <c r="X271" s="230"/>
      <c r="Y271" s="230"/>
      <c r="Z271" s="230"/>
      <c r="AA271" s="230"/>
      <c r="AB271" s="230"/>
      <c r="AC271" s="230"/>
      <c r="AD271" s="230"/>
      <c r="AE271" s="230"/>
      <c r="AF271" s="230"/>
      <c r="AG271" s="230"/>
    </row>
    <row r="272" spans="1:33">
      <c r="A272" s="230"/>
      <c r="B272" s="230"/>
      <c r="C272" s="230"/>
      <c r="D272" s="230"/>
      <c r="E272" s="230"/>
      <c r="F272" s="230"/>
      <c r="G272" s="230"/>
      <c r="H272" s="230"/>
      <c r="I272" s="230"/>
      <c r="J272" s="230"/>
      <c r="K272" s="230"/>
      <c r="L272" s="230"/>
      <c r="M272" s="230"/>
      <c r="N272" s="230"/>
      <c r="O272" s="230"/>
      <c r="P272" s="230"/>
      <c r="Q272" s="230"/>
      <c r="R272" s="230"/>
      <c r="S272" s="230"/>
      <c r="T272" s="230"/>
      <c r="U272" s="230"/>
      <c r="V272" s="230"/>
      <c r="W272" s="230"/>
      <c r="X272" s="230"/>
      <c r="Y272" s="230"/>
      <c r="Z272" s="230"/>
      <c r="AA272" s="230"/>
      <c r="AB272" s="230"/>
      <c r="AC272" s="230"/>
      <c r="AD272" s="230"/>
      <c r="AE272" s="230"/>
      <c r="AF272" s="230"/>
      <c r="AG272" s="230"/>
    </row>
    <row r="273" spans="1:33">
      <c r="A273" s="230"/>
      <c r="B273" s="230"/>
      <c r="C273" s="230"/>
      <c r="D273" s="230"/>
      <c r="E273" s="230"/>
      <c r="F273" s="230"/>
      <c r="G273" s="230"/>
      <c r="H273" s="230"/>
      <c r="I273" s="230"/>
      <c r="J273" s="230"/>
      <c r="K273" s="230"/>
      <c r="L273" s="230"/>
      <c r="M273" s="230"/>
      <c r="N273" s="230"/>
      <c r="O273" s="230"/>
      <c r="P273" s="230"/>
      <c r="Q273" s="230"/>
      <c r="R273" s="230"/>
      <c r="S273" s="230"/>
      <c r="T273" s="230"/>
      <c r="U273" s="230"/>
      <c r="V273" s="230"/>
      <c r="W273" s="230"/>
      <c r="X273" s="230"/>
      <c r="Y273" s="230"/>
      <c r="Z273" s="230"/>
      <c r="AA273" s="230"/>
      <c r="AB273" s="230"/>
      <c r="AC273" s="230"/>
      <c r="AD273" s="230"/>
      <c r="AE273" s="230"/>
      <c r="AF273" s="230"/>
      <c r="AG273" s="230"/>
    </row>
    <row r="274" spans="1:33">
      <c r="A274" s="230"/>
      <c r="B274" s="230"/>
      <c r="C274" s="230"/>
      <c r="D274" s="230"/>
      <c r="E274" s="230"/>
      <c r="F274" s="230"/>
      <c r="G274" s="230"/>
      <c r="H274" s="230"/>
      <c r="I274" s="230"/>
      <c r="J274" s="230"/>
      <c r="K274" s="230"/>
      <c r="L274" s="230"/>
      <c r="M274" s="230"/>
      <c r="N274" s="230"/>
      <c r="O274" s="230"/>
      <c r="P274" s="230"/>
      <c r="Q274" s="230"/>
      <c r="R274" s="230"/>
      <c r="S274" s="230"/>
      <c r="T274" s="230"/>
      <c r="U274" s="230"/>
      <c r="V274" s="230"/>
      <c r="W274" s="230"/>
      <c r="X274" s="230"/>
      <c r="Y274" s="230"/>
      <c r="Z274" s="230"/>
      <c r="AA274" s="230"/>
      <c r="AB274" s="230"/>
      <c r="AC274" s="230"/>
      <c r="AD274" s="230"/>
      <c r="AE274" s="230"/>
      <c r="AF274" s="230"/>
      <c r="AG274" s="230"/>
    </row>
    <row r="275" spans="1:33">
      <c r="A275" s="230"/>
      <c r="B275" s="230"/>
      <c r="C275" s="230"/>
      <c r="D275" s="230"/>
      <c r="E275" s="230"/>
      <c r="F275" s="230"/>
      <c r="G275" s="230"/>
      <c r="H275" s="230"/>
      <c r="I275" s="230"/>
      <c r="J275" s="230"/>
      <c r="K275" s="230"/>
      <c r="L275" s="230"/>
      <c r="M275" s="230"/>
      <c r="N275" s="230"/>
      <c r="O275" s="230"/>
      <c r="P275" s="230"/>
      <c r="Q275" s="230"/>
      <c r="R275" s="230"/>
      <c r="S275" s="230"/>
      <c r="T275" s="230"/>
      <c r="U275" s="230"/>
      <c r="V275" s="230"/>
      <c r="W275" s="230"/>
      <c r="X275" s="230"/>
      <c r="Y275" s="230"/>
      <c r="Z275" s="230"/>
      <c r="AA275" s="230"/>
      <c r="AB275" s="230"/>
      <c r="AC275" s="230"/>
      <c r="AD275" s="230"/>
      <c r="AE275" s="230"/>
      <c r="AF275" s="230"/>
      <c r="AG275" s="230"/>
    </row>
    <row r="276" spans="1:33">
      <c r="A276" s="230"/>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row>
    <row r="277" spans="1:33">
      <c r="A277" s="230"/>
      <c r="B277" s="230"/>
      <c r="C277" s="230"/>
      <c r="D277" s="230"/>
      <c r="E277" s="230"/>
      <c r="F277" s="230"/>
      <c r="G277" s="230"/>
      <c r="H277" s="230"/>
      <c r="I277" s="230"/>
      <c r="J277" s="230"/>
      <c r="K277" s="230"/>
      <c r="L277" s="230"/>
      <c r="M277" s="230"/>
      <c r="N277" s="230"/>
      <c r="O277" s="230"/>
      <c r="P277" s="230"/>
      <c r="Q277" s="230"/>
      <c r="R277" s="230"/>
      <c r="S277" s="230"/>
      <c r="T277" s="230"/>
      <c r="U277" s="230"/>
      <c r="V277" s="230"/>
      <c r="W277" s="230"/>
      <c r="X277" s="230"/>
      <c r="Y277" s="230"/>
      <c r="Z277" s="230"/>
      <c r="AA277" s="230"/>
      <c r="AB277" s="230"/>
      <c r="AC277" s="230"/>
      <c r="AD277" s="230"/>
      <c r="AE277" s="230"/>
      <c r="AF277" s="230"/>
      <c r="AG277" s="230"/>
    </row>
    <row r="278" spans="1:33">
      <c r="A278" s="230"/>
      <c r="B278" s="230"/>
      <c r="C278" s="230"/>
      <c r="D278" s="230"/>
      <c r="E278" s="230"/>
      <c r="F278" s="230"/>
      <c r="G278" s="230"/>
      <c r="H278" s="230"/>
      <c r="I278" s="230"/>
      <c r="J278" s="230"/>
      <c r="K278" s="230"/>
      <c r="L278" s="230"/>
      <c r="M278" s="230"/>
      <c r="N278" s="230"/>
      <c r="O278" s="230"/>
      <c r="P278" s="230"/>
      <c r="Q278" s="230"/>
      <c r="R278" s="230"/>
      <c r="S278" s="230"/>
      <c r="T278" s="230"/>
      <c r="U278" s="230"/>
      <c r="V278" s="230"/>
      <c r="W278" s="230"/>
      <c r="X278" s="230"/>
      <c r="Y278" s="230"/>
      <c r="Z278" s="230"/>
      <c r="AA278" s="230"/>
      <c r="AB278" s="230"/>
      <c r="AC278" s="230"/>
      <c r="AD278" s="230"/>
      <c r="AE278" s="230"/>
      <c r="AF278" s="230"/>
      <c r="AG278" s="230"/>
    </row>
    <row r="279" spans="1:33">
      <c r="A279" s="230"/>
      <c r="B279" s="230"/>
      <c r="C279" s="230"/>
      <c r="D279" s="230"/>
      <c r="E279" s="230"/>
      <c r="F279" s="230"/>
      <c r="G279" s="230"/>
      <c r="H279" s="230"/>
      <c r="I279" s="230"/>
      <c r="J279" s="230"/>
      <c r="K279" s="230"/>
      <c r="L279" s="230"/>
      <c r="M279" s="230"/>
      <c r="N279" s="230"/>
      <c r="O279" s="230"/>
      <c r="P279" s="230"/>
      <c r="Q279" s="230"/>
      <c r="R279" s="230"/>
      <c r="S279" s="230"/>
      <c r="T279" s="230"/>
      <c r="U279" s="230"/>
      <c r="V279" s="230"/>
      <c r="W279" s="230"/>
      <c r="X279" s="230"/>
      <c r="Y279" s="230"/>
      <c r="Z279" s="230"/>
      <c r="AA279" s="230"/>
      <c r="AB279" s="230"/>
      <c r="AC279" s="230"/>
      <c r="AD279" s="230"/>
      <c r="AE279" s="230"/>
      <c r="AF279" s="230"/>
      <c r="AG279" s="230"/>
    </row>
    <row r="280" spans="1:33">
      <c r="A280" s="230"/>
      <c r="B280" s="230"/>
      <c r="C280" s="230"/>
      <c r="D280" s="230"/>
      <c r="E280" s="230"/>
      <c r="F280" s="230"/>
      <c r="G280" s="230"/>
      <c r="H280" s="230"/>
      <c r="I280" s="230"/>
      <c r="J280" s="230"/>
      <c r="K280" s="230"/>
      <c r="L280" s="230"/>
      <c r="M280" s="230"/>
      <c r="N280" s="230"/>
      <c r="O280" s="230"/>
      <c r="P280" s="230"/>
      <c r="Q280" s="230"/>
      <c r="R280" s="230"/>
      <c r="S280" s="230"/>
      <c r="T280" s="230"/>
      <c r="U280" s="230"/>
      <c r="V280" s="230"/>
      <c r="W280" s="230"/>
      <c r="X280" s="230"/>
      <c r="Y280" s="230"/>
      <c r="Z280" s="230"/>
      <c r="AA280" s="230"/>
      <c r="AB280" s="230"/>
      <c r="AC280" s="230"/>
      <c r="AD280" s="230"/>
      <c r="AE280" s="230"/>
      <c r="AF280" s="230"/>
      <c r="AG280" s="230"/>
    </row>
    <row r="281" spans="1:33">
      <c r="A281" s="230"/>
      <c r="B281" s="230"/>
      <c r="C281" s="230"/>
      <c r="D281" s="230"/>
      <c r="E281" s="230"/>
      <c r="F281" s="230"/>
      <c r="G281" s="230"/>
      <c r="H281" s="230"/>
      <c r="I281" s="230"/>
      <c r="J281" s="230"/>
      <c r="K281" s="230"/>
      <c r="L281" s="230"/>
      <c r="M281" s="230"/>
      <c r="N281" s="230"/>
      <c r="O281" s="230"/>
      <c r="P281" s="230"/>
      <c r="Q281" s="230"/>
      <c r="R281" s="230"/>
      <c r="S281" s="230"/>
      <c r="T281" s="230"/>
      <c r="U281" s="230"/>
      <c r="V281" s="230"/>
      <c r="W281" s="230"/>
      <c r="X281" s="230"/>
      <c r="Y281" s="230"/>
      <c r="Z281" s="230"/>
      <c r="AA281" s="230"/>
      <c r="AB281" s="230"/>
      <c r="AC281" s="230"/>
      <c r="AD281" s="230"/>
      <c r="AE281" s="230"/>
      <c r="AF281" s="230"/>
      <c r="AG281" s="230"/>
    </row>
    <row r="282" spans="1:33">
      <c r="A282" s="230"/>
      <c r="B282" s="230"/>
      <c r="C282" s="230"/>
      <c r="D282" s="230"/>
      <c r="E282" s="230"/>
      <c r="F282" s="230"/>
      <c r="G282" s="230"/>
      <c r="H282" s="230"/>
      <c r="I282" s="230"/>
      <c r="J282" s="230"/>
      <c r="K282" s="230"/>
      <c r="L282" s="230"/>
      <c r="M282" s="230"/>
      <c r="N282" s="230"/>
      <c r="O282" s="230"/>
      <c r="P282" s="230"/>
      <c r="Q282" s="230"/>
      <c r="R282" s="230"/>
      <c r="S282" s="230"/>
      <c r="T282" s="230"/>
      <c r="U282" s="230"/>
      <c r="V282" s="230"/>
      <c r="W282" s="230"/>
      <c r="X282" s="230"/>
      <c r="Y282" s="230"/>
      <c r="Z282" s="230"/>
      <c r="AA282" s="230"/>
      <c r="AB282" s="230"/>
      <c r="AC282" s="230"/>
      <c r="AD282" s="230"/>
      <c r="AE282" s="230"/>
      <c r="AF282" s="230"/>
      <c r="AG282" s="230"/>
    </row>
    <row r="283" spans="1:33">
      <c r="A283" s="230"/>
      <c r="B283" s="230"/>
      <c r="C283" s="230"/>
      <c r="D283" s="230"/>
      <c r="E283" s="230"/>
      <c r="F283" s="230"/>
      <c r="G283" s="230"/>
      <c r="H283" s="230"/>
      <c r="I283" s="230"/>
      <c r="J283" s="230"/>
      <c r="K283" s="230"/>
      <c r="L283" s="230"/>
      <c r="M283" s="230"/>
      <c r="N283" s="230"/>
      <c r="O283" s="230"/>
      <c r="P283" s="230"/>
      <c r="Q283" s="230"/>
      <c r="R283" s="230"/>
      <c r="S283" s="230"/>
      <c r="T283" s="230"/>
      <c r="U283" s="230"/>
      <c r="V283" s="230"/>
      <c r="W283" s="230"/>
      <c r="X283" s="230"/>
      <c r="Y283" s="230"/>
      <c r="Z283" s="230"/>
      <c r="AA283" s="230"/>
      <c r="AB283" s="230"/>
      <c r="AC283" s="230"/>
      <c r="AD283" s="230"/>
      <c r="AE283" s="230"/>
      <c r="AF283" s="230"/>
      <c r="AG283" s="230"/>
    </row>
    <row r="284" spans="1:33">
      <c r="A284" s="230"/>
      <c r="B284" s="230"/>
      <c r="C284" s="230"/>
      <c r="D284" s="230"/>
      <c r="E284" s="230"/>
      <c r="F284" s="230"/>
      <c r="G284" s="230"/>
      <c r="H284" s="230"/>
      <c r="I284" s="230"/>
      <c r="J284" s="230"/>
      <c r="K284" s="230"/>
      <c r="L284" s="230"/>
      <c r="M284" s="230"/>
      <c r="N284" s="230"/>
      <c r="O284" s="230"/>
      <c r="P284" s="230"/>
      <c r="Q284" s="230"/>
      <c r="R284" s="230"/>
      <c r="S284" s="230"/>
      <c r="T284" s="230"/>
      <c r="U284" s="230"/>
      <c r="V284" s="230"/>
      <c r="W284" s="230"/>
      <c r="X284" s="230"/>
      <c r="Y284" s="230"/>
      <c r="Z284" s="230"/>
      <c r="AA284" s="230"/>
      <c r="AB284" s="230"/>
      <c r="AC284" s="230"/>
      <c r="AD284" s="230"/>
      <c r="AE284" s="230"/>
      <c r="AF284" s="230"/>
      <c r="AG284" s="230"/>
    </row>
    <row r="285" spans="1:33">
      <c r="A285" s="230"/>
      <c r="B285" s="230"/>
      <c r="C285" s="230"/>
      <c r="D285" s="230"/>
      <c r="E285" s="230"/>
      <c r="F285" s="230"/>
      <c r="G285" s="230"/>
      <c r="H285" s="230"/>
      <c r="I285" s="230"/>
      <c r="J285" s="230"/>
      <c r="K285" s="230"/>
      <c r="L285" s="230"/>
      <c r="M285" s="230"/>
      <c r="N285" s="230"/>
      <c r="O285" s="230"/>
      <c r="P285" s="230"/>
      <c r="Q285" s="230"/>
      <c r="R285" s="230"/>
      <c r="S285" s="230"/>
      <c r="T285" s="230"/>
      <c r="U285" s="230"/>
      <c r="V285" s="230"/>
      <c r="W285" s="230"/>
      <c r="X285" s="230"/>
      <c r="Y285" s="230"/>
      <c r="Z285" s="230"/>
      <c r="AA285" s="230"/>
      <c r="AB285" s="230"/>
      <c r="AC285" s="230"/>
      <c r="AD285" s="230"/>
      <c r="AE285" s="230"/>
      <c r="AF285" s="230"/>
      <c r="AG285" s="230"/>
    </row>
  </sheetData>
  <sheetProtection sheet="1" objects="1" scenarios="1"/>
  <mergeCells count="19">
    <mergeCell ref="A4:K4"/>
    <mergeCell ref="B10:K10"/>
    <mergeCell ref="C11:K11"/>
    <mergeCell ref="A21:K21"/>
    <mergeCell ref="A36:K36"/>
    <mergeCell ref="A6:K6"/>
    <mergeCell ref="A39:K39"/>
    <mergeCell ref="B38:K38"/>
    <mergeCell ref="A9:K9"/>
    <mergeCell ref="D7:K7"/>
    <mergeCell ref="A41:K42"/>
    <mergeCell ref="A37:K37"/>
    <mergeCell ref="A20:K20"/>
    <mergeCell ref="E25:F25"/>
    <mergeCell ref="E23:I23"/>
    <mergeCell ref="B12:K12"/>
    <mergeCell ref="B15:K15"/>
    <mergeCell ref="A18:K18"/>
    <mergeCell ref="A19:K19"/>
  </mergeCells>
  <dataValidations count="2">
    <dataValidation type="list" allowBlank="1" showInputMessage="1" showErrorMessage="1" sqref="E25" xr:uid="{00000000-0002-0000-0000-000000000000}">
      <formula1>Tab_navigation</formula1>
    </dataValidation>
    <dataValidation type="list" allowBlank="1" showInputMessage="1" showErrorMessage="1" sqref="D14" xr:uid="{00000000-0002-0000-0000-000001000000}">
      <formula1>Help_Navigation</formula1>
    </dataValidation>
  </dataValidations>
  <hyperlinks>
    <hyperlink ref="B38" r:id="rId1" xr:uid="{00000000-0004-0000-0000-000000000000}"/>
    <hyperlink ref="B38:K38" r:id="rId2" display="https://www.epa.gov/ghgreporting" xr:uid="{00000000-0004-0000-0000-000001000000}"/>
    <hyperlink ref="C11:K11" location="'Boundary Questions'!A1" display="Go to Boundary Questions" xr:uid="{00000000-0004-0000-0000-000002000000}"/>
    <hyperlink ref="D7" r:id="rId3" xr:uid="{00000000-0004-0000-0000-000003000000}"/>
  </hyperlinks>
  <pageMargins left="0.7" right="0.7" top="0.75" bottom="0.75" header="0.3" footer="0.3"/>
  <pageSetup scale="71" orientation="portrait" r:id="rId4"/>
  <colBreaks count="1" manualBreakCount="1">
    <brk id="11" max="1048575" man="1"/>
  </colBreaks>
  <drawing r:id="rId5"/>
  <legacyDrawing r:id="rId6"/>
  <controls>
    <mc:AlternateContent xmlns:mc="http://schemas.openxmlformats.org/markup-compatibility/2006">
      <mc:Choice Requires="x14">
        <control shapeId="26642" r:id="rId7" name="CommandButton1">
          <controlPr autoLine="0" r:id="rId8">
            <anchor moveWithCells="1">
              <from>
                <xdr:col>3</xdr:col>
                <xdr:colOff>342900</xdr:colOff>
                <xdr:row>24</xdr:row>
                <xdr:rowOff>28575</xdr:rowOff>
              </from>
              <to>
                <xdr:col>3</xdr:col>
                <xdr:colOff>1733550</xdr:colOff>
                <xdr:row>26</xdr:row>
                <xdr:rowOff>9525</xdr:rowOff>
              </to>
            </anchor>
          </controlPr>
        </control>
      </mc:Choice>
      <mc:Fallback>
        <control shapeId="26642" r:id="rId7" name="CommandButton1"/>
      </mc:Fallback>
    </mc:AlternateContent>
    <mc:AlternateContent xmlns:mc="http://schemas.openxmlformats.org/markup-compatibility/2006">
      <mc:Choice Requires="x14">
        <control shapeId="26643" r:id="rId9" name="CommandButton2">
          <controlPr autoLine="0" r:id="rId10">
            <anchor moveWithCells="1">
              <from>
                <xdr:col>3</xdr:col>
                <xdr:colOff>342900</xdr:colOff>
                <xdr:row>26</xdr:row>
                <xdr:rowOff>19050</xdr:rowOff>
              </from>
              <to>
                <xdr:col>3</xdr:col>
                <xdr:colOff>1733550</xdr:colOff>
                <xdr:row>28</xdr:row>
                <xdr:rowOff>38100</xdr:rowOff>
              </to>
            </anchor>
          </controlPr>
        </control>
      </mc:Choice>
      <mc:Fallback>
        <control shapeId="26643" r:id="rId9" name="CommandButton2"/>
      </mc:Fallback>
    </mc:AlternateContent>
    <mc:AlternateContent xmlns:mc="http://schemas.openxmlformats.org/markup-compatibility/2006">
      <mc:Choice Requires="x14">
        <control shapeId="26644" r:id="rId11" name="CommandButton3">
          <controlPr autoLine="0" r:id="rId12">
            <anchor moveWithCells="1">
              <from>
                <xdr:col>3</xdr:col>
                <xdr:colOff>342900</xdr:colOff>
                <xdr:row>28</xdr:row>
                <xdr:rowOff>38100</xdr:rowOff>
              </from>
              <to>
                <xdr:col>3</xdr:col>
                <xdr:colOff>1733550</xdr:colOff>
                <xdr:row>30</xdr:row>
                <xdr:rowOff>57150</xdr:rowOff>
              </to>
            </anchor>
          </controlPr>
        </control>
      </mc:Choice>
      <mc:Fallback>
        <control shapeId="26644" r:id="rId11" name="CommandButton3"/>
      </mc:Fallback>
    </mc:AlternateContent>
    <mc:AlternateContent xmlns:mc="http://schemas.openxmlformats.org/markup-compatibility/2006">
      <mc:Choice Requires="x14">
        <control shapeId="26773" r:id="rId13" name="Button 149">
          <controlPr defaultSize="0" print="0" autoFill="0" autoPict="0" macro="[0]!goto_inputsheets">
            <anchor moveWithCells="1">
              <from>
                <xdr:col>6</xdr:col>
                <xdr:colOff>257175</xdr:colOff>
                <xdr:row>23</xdr:row>
                <xdr:rowOff>114300</xdr:rowOff>
              </from>
              <to>
                <xdr:col>8</xdr:col>
                <xdr:colOff>428625</xdr:colOff>
                <xdr:row>25</xdr:row>
                <xdr:rowOff>38100</xdr:rowOff>
              </to>
            </anchor>
          </controlPr>
        </control>
      </mc:Choice>
    </mc:AlternateContent>
    <mc:AlternateContent xmlns:mc="http://schemas.openxmlformats.org/markup-compatibility/2006">
      <mc:Choice Requires="x14">
        <control shapeId="26794" r:id="rId14" name="Button 170">
          <controlPr defaultSize="0" print="0" autoFill="0" autoPict="0" macro="[0]!goto_helpsheets">
            <anchor moveWithCells="1">
              <from>
                <xdr:col>4</xdr:col>
                <xdr:colOff>190500</xdr:colOff>
                <xdr:row>12</xdr:row>
                <xdr:rowOff>57150</xdr:rowOff>
              </from>
              <to>
                <xdr:col>6</xdr:col>
                <xdr:colOff>114300</xdr:colOff>
                <xdr:row>14</xdr:row>
                <xdr:rowOff>19050</xdr:rowOff>
              </to>
            </anchor>
          </controlPr>
        </control>
      </mc:Choice>
    </mc:AlternateContent>
    <mc:AlternateContent xmlns:mc="http://schemas.openxmlformats.org/markup-compatibility/2006">
      <mc:Choice Requires="x14">
        <control shapeId="27317" r:id="rId15" name="Button 693">
          <controlPr defaultSize="0" print="0" autoFill="0" autoPict="0" macro="[0]!goto_helpsheets">
            <anchor moveWithCells="1">
              <from>
                <xdr:col>4</xdr:col>
                <xdr:colOff>190500</xdr:colOff>
                <xdr:row>12</xdr:row>
                <xdr:rowOff>57150</xdr:rowOff>
              </from>
              <to>
                <xdr:col>6</xdr:col>
                <xdr:colOff>114300</xdr:colOff>
                <xdr:row>14</xdr:row>
                <xdr:rowOff>19050</xdr:rowOff>
              </to>
            </anchor>
          </controlPr>
        </control>
      </mc:Choice>
    </mc:AlternateContent>
  </control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AF203"/>
  <sheetViews>
    <sheetView zoomScaleNormal="100" workbookViewId="0">
      <pane ySplit="4" topLeftCell="A17" activePane="bottomLeft" state="frozen"/>
      <selection pane="bottomLeft" activeCell="E64" sqref="E64"/>
    </sheetView>
  </sheetViews>
  <sheetFormatPr defaultRowHeight="12.75"/>
  <cols>
    <col min="1" max="1" width="9.7109375" customWidth="1"/>
    <col min="2" max="2" width="16.7109375" customWidth="1"/>
    <col min="3" max="3" width="12.5703125" customWidth="1"/>
    <col min="4" max="4" width="31.5703125" customWidth="1"/>
    <col min="5" max="5" width="13.28515625" customWidth="1"/>
    <col min="6" max="8" width="13.5703125" customWidth="1"/>
    <col min="9" max="9" width="20.140625" style="2" customWidth="1"/>
    <col min="10" max="10" width="12.85546875" customWidth="1"/>
    <col min="12" max="12" width="20.140625" style="2" customWidth="1"/>
    <col min="13" max="13" width="9.5703125" bestFit="1" customWidth="1"/>
  </cols>
  <sheetData>
    <row r="1" spans="1:31"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15">
      <c r="A3" s="11" t="s">
        <v>916</v>
      </c>
      <c r="B3" s="10"/>
      <c r="C3" s="10"/>
      <c r="D3" s="10"/>
      <c r="E3" s="10"/>
      <c r="F3" s="10"/>
      <c r="G3" s="1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c r="A4" s="10"/>
      <c r="B4" s="10"/>
      <c r="C4" s="10"/>
      <c r="D4" s="10"/>
      <c r="E4" s="10"/>
      <c r="F4" s="10"/>
      <c r="G4" s="1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c r="A5" s="229" t="s">
        <v>346</v>
      </c>
      <c r="B5" s="10"/>
      <c r="C5" s="10"/>
      <c r="D5" s="10"/>
      <c r="E5" s="10"/>
      <c r="F5" s="10"/>
      <c r="G5" s="1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ht="72.599999999999994" customHeight="1">
      <c r="A6" s="1250" t="s">
        <v>1098</v>
      </c>
      <c r="B6" s="1250"/>
      <c r="C6" s="1250"/>
      <c r="D6" s="1250"/>
      <c r="E6" s="1250"/>
      <c r="F6" s="1250"/>
      <c r="G6" s="1250"/>
      <c r="H6" s="230"/>
      <c r="I6" s="230"/>
      <c r="J6" s="230"/>
      <c r="K6" s="230"/>
      <c r="L6" s="230"/>
      <c r="M6" s="230"/>
      <c r="N6" s="230"/>
      <c r="O6" s="230"/>
      <c r="P6" s="230"/>
      <c r="Q6" s="230"/>
      <c r="R6" s="230"/>
      <c r="S6" s="230"/>
      <c r="T6" s="230"/>
      <c r="U6" s="230"/>
      <c r="V6" s="230"/>
      <c r="W6" s="230"/>
      <c r="X6" s="230"/>
      <c r="Y6" s="230"/>
      <c r="Z6" s="230"/>
      <c r="AA6" s="230"/>
      <c r="AB6" s="230"/>
      <c r="AC6" s="230"/>
      <c r="AD6" s="230"/>
      <c r="AE6" s="230"/>
    </row>
    <row r="7" spans="1:31">
      <c r="A7" s="1196" t="s">
        <v>1105</v>
      </c>
      <c r="B7" s="1196"/>
      <c r="C7" s="1196"/>
      <c r="D7" s="1196"/>
      <c r="E7" s="1196"/>
      <c r="F7" s="1196"/>
      <c r="G7" s="1196"/>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ht="25.5" customHeight="1">
      <c r="A8" s="1196" t="s">
        <v>942</v>
      </c>
      <c r="B8" s="1196"/>
      <c r="C8" s="1196"/>
      <c r="D8" s="1196"/>
      <c r="E8" s="1196"/>
      <c r="F8" s="1196"/>
      <c r="G8" s="1196"/>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c r="A9" s="307" t="s">
        <v>831</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c r="AE9" s="230"/>
    </row>
    <row r="10" spans="1:31" ht="24.75" customHeight="1">
      <c r="A10" s="230"/>
      <c r="B10" s="1196" t="s">
        <v>962</v>
      </c>
      <c r="C10" s="1196"/>
      <c r="D10" s="1196"/>
      <c r="E10" s="1196"/>
      <c r="F10" s="1196"/>
      <c r="G10" s="1196"/>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row>
    <row r="11" spans="1:31">
      <c r="A11" s="257"/>
      <c r="B11" s="346" t="s">
        <v>943</v>
      </c>
      <c r="C11" s="347"/>
      <c r="D11" s="347"/>
      <c r="E11" s="347"/>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row>
    <row r="12" spans="1:31" ht="65.25" customHeight="1">
      <c r="A12" s="1196" t="s">
        <v>1116</v>
      </c>
      <c r="B12" s="1196"/>
      <c r="C12" s="1196"/>
      <c r="D12" s="1196"/>
      <c r="E12" s="1196"/>
      <c r="F12" s="1196"/>
      <c r="G12" s="1196"/>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row>
    <row r="13" spans="1:31">
      <c r="A13" s="283"/>
      <c r="B13" s="230"/>
      <c r="C13" s="230"/>
      <c r="D13" s="230"/>
      <c r="E13" s="230"/>
      <c r="F13" s="230"/>
      <c r="G13" s="230"/>
      <c r="H13" s="230"/>
      <c r="J13" s="230"/>
      <c r="K13" s="230"/>
      <c r="L13" s="230"/>
      <c r="M13" s="230"/>
      <c r="N13" s="230"/>
      <c r="O13" s="230"/>
      <c r="P13" s="230"/>
      <c r="Q13" s="230"/>
      <c r="R13" s="230"/>
      <c r="S13" s="230"/>
      <c r="T13" s="230"/>
      <c r="U13" s="230"/>
      <c r="V13" s="230"/>
      <c r="W13" s="230"/>
      <c r="X13" s="230"/>
      <c r="Y13" s="230"/>
      <c r="Z13" s="230"/>
      <c r="AA13" s="230"/>
      <c r="AB13" s="230"/>
      <c r="AC13" s="230"/>
      <c r="AD13" s="230"/>
      <c r="AE13" s="230"/>
    </row>
    <row r="14" spans="1:31">
      <c r="A14" s="283" t="s">
        <v>1084</v>
      </c>
      <c r="B14" s="230"/>
      <c r="C14" s="230"/>
      <c r="D14" s="230"/>
      <c r="E14" s="230"/>
      <c r="F14" s="230"/>
      <c r="G14" s="257"/>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row>
    <row r="15" spans="1:31" ht="27" customHeight="1">
      <c r="A15" s="1238" t="s">
        <v>1115</v>
      </c>
      <c r="B15" s="1238"/>
      <c r="C15" s="1238"/>
      <c r="D15" s="1238"/>
      <c r="E15" s="1239"/>
      <c r="F15" s="1249" t="s">
        <v>1083</v>
      </c>
      <c r="G15" s="1244"/>
      <c r="H15" s="1244"/>
      <c r="I15" s="1244"/>
      <c r="J15" s="1244"/>
      <c r="K15" s="1245"/>
      <c r="L15" s="1240" t="s">
        <v>922</v>
      </c>
      <c r="M15" s="1241"/>
      <c r="N15" s="1242"/>
      <c r="O15" s="230"/>
      <c r="P15" s="230"/>
      <c r="Q15" s="230"/>
      <c r="R15" s="230"/>
      <c r="S15" s="230"/>
      <c r="T15" s="230"/>
      <c r="U15" s="230"/>
      <c r="V15" s="230"/>
      <c r="W15" s="230"/>
      <c r="X15" s="230"/>
      <c r="Y15" s="230"/>
      <c r="Z15" s="230"/>
      <c r="AA15" s="230"/>
      <c r="AB15" s="230"/>
      <c r="AC15" s="230"/>
      <c r="AD15" s="230"/>
      <c r="AE15" s="230"/>
    </row>
    <row r="16" spans="1:31" ht="13.5" thickBot="1">
      <c r="A16" s="13" t="s">
        <v>41</v>
      </c>
      <c r="B16" s="10"/>
      <c r="C16" s="10"/>
      <c r="D16" s="10"/>
      <c r="E16" s="10"/>
      <c r="F16" s="1243" t="s">
        <v>919</v>
      </c>
      <c r="G16" s="1244"/>
      <c r="H16" s="1245"/>
      <c r="I16" s="1243" t="s">
        <v>184</v>
      </c>
      <c r="J16" s="1244"/>
      <c r="K16" s="1245"/>
      <c r="L16" s="1246" t="s">
        <v>184</v>
      </c>
      <c r="M16" s="1247"/>
      <c r="N16" s="1248"/>
      <c r="O16" s="230"/>
      <c r="P16" s="230"/>
      <c r="Q16" s="230"/>
      <c r="R16" s="230"/>
      <c r="S16" s="230"/>
      <c r="T16" s="230"/>
      <c r="U16" s="230"/>
      <c r="V16" s="230"/>
      <c r="W16" s="230"/>
      <c r="X16" s="230"/>
      <c r="Y16" s="230"/>
      <c r="Z16" s="230"/>
      <c r="AA16" s="230"/>
      <c r="AB16" s="230"/>
      <c r="AC16" s="230"/>
      <c r="AD16" s="230"/>
      <c r="AE16" s="230"/>
    </row>
    <row r="17" spans="1:32" ht="14.25">
      <c r="A17" s="20" t="s">
        <v>163</v>
      </c>
      <c r="B17" s="21" t="s">
        <v>163</v>
      </c>
      <c r="C17" s="21" t="s">
        <v>163</v>
      </c>
      <c r="D17" s="21" t="s">
        <v>71</v>
      </c>
      <c r="E17" s="21" t="s">
        <v>73</v>
      </c>
      <c r="F17" s="28" t="s">
        <v>101</v>
      </c>
      <c r="G17" s="28" t="s">
        <v>182</v>
      </c>
      <c r="H17" s="29" t="s">
        <v>100</v>
      </c>
      <c r="I17" s="28" t="s">
        <v>101</v>
      </c>
      <c r="J17" s="28" t="s">
        <v>182</v>
      </c>
      <c r="K17" s="29" t="s">
        <v>100</v>
      </c>
      <c r="L17" s="21" t="s">
        <v>101</v>
      </c>
      <c r="M17" s="21" t="s">
        <v>182</v>
      </c>
      <c r="N17" s="22" t="s">
        <v>100</v>
      </c>
      <c r="O17" s="230"/>
      <c r="P17" s="230"/>
      <c r="Q17" s="230"/>
      <c r="R17" s="230"/>
      <c r="S17" s="230"/>
      <c r="T17" s="230"/>
      <c r="U17" s="230"/>
      <c r="V17" s="230"/>
      <c r="W17" s="230"/>
      <c r="X17" s="230"/>
      <c r="Y17" s="230"/>
      <c r="Z17" s="230"/>
      <c r="AA17" s="230"/>
      <c r="AB17" s="230"/>
      <c r="AC17" s="230"/>
      <c r="AD17" s="230"/>
      <c r="AE17" s="230"/>
      <c r="AF17" s="230"/>
    </row>
    <row r="18" spans="1:32">
      <c r="A18" s="39" t="s">
        <v>166</v>
      </c>
      <c r="B18" s="28" t="s">
        <v>167</v>
      </c>
      <c r="C18" s="28" t="s">
        <v>780</v>
      </c>
      <c r="D18" s="786" t="s">
        <v>923</v>
      </c>
      <c r="E18" s="28" t="s">
        <v>74</v>
      </c>
      <c r="F18" s="28" t="s">
        <v>184</v>
      </c>
      <c r="G18" s="28" t="s">
        <v>184</v>
      </c>
      <c r="H18" s="29" t="s">
        <v>184</v>
      </c>
      <c r="I18" s="28" t="s">
        <v>184</v>
      </c>
      <c r="J18" s="28" t="s">
        <v>184</v>
      </c>
      <c r="K18" s="29" t="s">
        <v>184</v>
      </c>
      <c r="L18" s="28" t="s">
        <v>184</v>
      </c>
      <c r="M18" s="28" t="s">
        <v>184</v>
      </c>
      <c r="N18" s="29" t="s">
        <v>184</v>
      </c>
      <c r="O18" s="230"/>
      <c r="P18" s="230"/>
      <c r="Q18" s="230"/>
      <c r="R18" s="230"/>
      <c r="S18" s="230"/>
      <c r="T18" s="230"/>
      <c r="U18" s="230"/>
      <c r="V18" s="230"/>
      <c r="W18" s="230"/>
      <c r="X18" s="230"/>
      <c r="Y18" s="230"/>
      <c r="Z18" s="230"/>
      <c r="AA18" s="230"/>
      <c r="AB18" s="230"/>
      <c r="AC18" s="230"/>
      <c r="AD18" s="230"/>
      <c r="AE18" s="230"/>
      <c r="AF18" s="230"/>
    </row>
    <row r="19" spans="1:32" ht="13.5" thickBot="1">
      <c r="A19" s="23"/>
      <c r="B19" s="24"/>
      <c r="C19" s="24"/>
      <c r="D19" s="24"/>
      <c r="E19" s="24" t="s">
        <v>42</v>
      </c>
      <c r="F19" s="24" t="s">
        <v>920</v>
      </c>
      <c r="G19" s="24" t="s">
        <v>920</v>
      </c>
      <c r="H19" s="25" t="s">
        <v>920</v>
      </c>
      <c r="I19" s="24" t="s">
        <v>198</v>
      </c>
      <c r="J19" s="24" t="s">
        <v>198</v>
      </c>
      <c r="K19" s="25" t="s">
        <v>198</v>
      </c>
      <c r="L19" s="24" t="s">
        <v>198</v>
      </c>
      <c r="M19" s="24" t="s">
        <v>198</v>
      </c>
      <c r="N19" s="25" t="s">
        <v>198</v>
      </c>
      <c r="O19" s="230"/>
      <c r="P19" s="230"/>
      <c r="Q19" s="230"/>
      <c r="R19" s="230"/>
      <c r="S19" s="230"/>
      <c r="T19" s="230"/>
      <c r="U19" s="230"/>
      <c r="V19" s="230"/>
      <c r="W19" s="230"/>
      <c r="X19" s="230"/>
      <c r="Y19" s="230"/>
      <c r="Z19" s="230"/>
      <c r="AA19" s="230"/>
      <c r="AB19" s="230"/>
      <c r="AC19" s="230"/>
      <c r="AD19" s="230"/>
      <c r="AE19" s="230"/>
      <c r="AF19" s="230"/>
    </row>
    <row r="20" spans="1:32">
      <c r="A20" s="641" t="s">
        <v>19</v>
      </c>
      <c r="B20" s="642" t="s">
        <v>170</v>
      </c>
      <c r="C20" s="679">
        <v>12517</v>
      </c>
      <c r="D20" s="857" t="s">
        <v>52</v>
      </c>
      <c r="E20" s="858">
        <v>200000</v>
      </c>
      <c r="F20" s="856">
        <v>0</v>
      </c>
      <c r="G20" s="856">
        <v>0</v>
      </c>
      <c r="H20" s="856">
        <v>0</v>
      </c>
      <c r="I20" s="652">
        <f>IFERROR(IF(ISBLANK(F20),L20,E20/1000*F20),"Enter Factor")</f>
        <v>0</v>
      </c>
      <c r="J20" s="652">
        <f>IFERROR(IF(ISBLANK(G20),M20,F20/1000*G20),"Enter Factor")</f>
        <v>0</v>
      </c>
      <c r="K20" s="652">
        <f>IFERROR(IF(ISBLANK(H20),N20,G20/1000*H20),"Enter Factor")</f>
        <v>0</v>
      </c>
      <c r="L20" s="652">
        <f>IF(ISNA(VLOOKUP($D20,eGRID_em_Fctrs,4,FALSE)),"",VLOOKUP($D20,eGRID_em_Fctrs,4,FALSE)*$E20/1000)</f>
        <v>222140</v>
      </c>
      <c r="M20" s="652">
        <f t="shared" ref="M20:M57" si="0">IF(ISNA(VLOOKUP($D20,eGRID_em_Fctrs,5,FALSE)),"",VLOOKUP($D20,eGRID_em_Fctrs,5,FALSE)*$E20/1000)</f>
        <v>23.6</v>
      </c>
      <c r="N20" s="652">
        <f t="shared" ref="N20:N57" si="1">IF(ISNA(VLOOKUP($D20,eGRID_em_Fctrs,7,FALSE)),"",VLOOKUP($D20,eGRID_em_Fctrs,7,FALSE)*$E20/1000)</f>
        <v>3.5999999999999996</v>
      </c>
      <c r="O20" s="230"/>
      <c r="P20" s="230"/>
      <c r="Q20" s="230"/>
      <c r="R20" s="230"/>
      <c r="S20" s="230"/>
      <c r="T20" s="230"/>
      <c r="U20" s="230"/>
      <c r="V20" s="230"/>
      <c r="W20" s="230"/>
      <c r="X20" s="230"/>
      <c r="Y20" s="230"/>
      <c r="Z20" s="230"/>
      <c r="AA20" s="230"/>
      <c r="AB20" s="230"/>
      <c r="AC20" s="230"/>
      <c r="AD20" s="230"/>
      <c r="AE20" s="230"/>
      <c r="AF20" s="230"/>
    </row>
    <row r="21" spans="1:32">
      <c r="A21" s="1116" t="s">
        <v>1396</v>
      </c>
      <c r="B21" s="1111" t="s">
        <v>1397</v>
      </c>
      <c r="C21" s="252"/>
      <c r="D21" s="859" t="s">
        <v>56</v>
      </c>
      <c r="E21" s="860">
        <v>11429</v>
      </c>
      <c r="F21" s="854">
        <v>1253.318</v>
      </c>
      <c r="G21" s="854">
        <v>0.13800000000000001</v>
      </c>
      <c r="H21" s="854">
        <v>0.02</v>
      </c>
      <c r="I21" s="523">
        <f t="shared" ref="I21:K22" si="2">IFERROR(IF(OR(ISBLANK(F21),F21="&lt;enter factor&gt;"),L21,$E21/1000*F21),"")</f>
        <v>14324.171421999999</v>
      </c>
      <c r="J21" s="523">
        <f t="shared" si="2"/>
        <v>1.5772020000000002</v>
      </c>
      <c r="K21" s="523">
        <f t="shared" si="2"/>
        <v>0.22858000000000001</v>
      </c>
      <c r="L21" s="548">
        <f>IF(ISNA(VLOOKUP($D21,eGRID_em_Fctrs,4,FALSE)),"",VLOOKUP($D21,eGRID_em_Fctrs,4,FALSE)*$E21/1000)</f>
        <v>7303.1310000000003</v>
      </c>
      <c r="M21" s="548">
        <f t="shared" si="0"/>
        <v>0.731456</v>
      </c>
      <c r="N21" s="548">
        <f t="shared" si="1"/>
        <v>0.10286099999999999</v>
      </c>
      <c r="O21" s="230"/>
      <c r="P21" s="230"/>
      <c r="Q21" s="230"/>
      <c r="R21" s="230"/>
      <c r="S21" s="230"/>
      <c r="T21" s="230"/>
      <c r="U21" s="230"/>
      <c r="V21" s="230"/>
      <c r="W21" s="230"/>
      <c r="X21" s="230"/>
      <c r="Y21" s="230"/>
      <c r="Z21" s="230"/>
      <c r="AA21" s="230"/>
      <c r="AB21" s="230"/>
      <c r="AC21" s="230"/>
      <c r="AD21" s="230"/>
      <c r="AE21" s="230"/>
      <c r="AF21" s="230"/>
    </row>
    <row r="22" spans="1:32">
      <c r="A22" s="1107" t="s">
        <v>1398</v>
      </c>
      <c r="B22" s="1106" t="s">
        <v>1399</v>
      </c>
      <c r="C22" s="107"/>
      <c r="D22" s="38" t="s">
        <v>56</v>
      </c>
      <c r="E22" s="107">
        <v>8820</v>
      </c>
      <c r="F22" s="854">
        <v>1253.318</v>
      </c>
      <c r="G22" s="854">
        <v>0.13800000000000001</v>
      </c>
      <c r="H22" s="854">
        <v>0.02</v>
      </c>
      <c r="I22" s="523">
        <f t="shared" si="2"/>
        <v>11054.26476</v>
      </c>
      <c r="J22" s="523">
        <f t="shared" si="2"/>
        <v>1.2171600000000002</v>
      </c>
      <c r="K22" s="523">
        <f t="shared" si="2"/>
        <v>0.1764</v>
      </c>
      <c r="L22" s="523">
        <f t="shared" ref="L22:L57" si="3">IF(ISNA(VLOOKUP($D22,eGRID_em_Fctrs,4,FALSE)),"",VLOOKUP($D22,eGRID_em_Fctrs,4,FALSE)*$E22/1000)</f>
        <v>5635.98</v>
      </c>
      <c r="M22" s="548">
        <f t="shared" si="0"/>
        <v>0.56447999999999998</v>
      </c>
      <c r="N22" s="548">
        <f t="shared" si="1"/>
        <v>7.9379999999999992E-2</v>
      </c>
      <c r="O22" s="230"/>
      <c r="P22" s="230"/>
      <c r="Q22" s="230"/>
      <c r="R22" s="230"/>
      <c r="S22" s="230"/>
      <c r="T22" s="230"/>
      <c r="U22" s="230"/>
      <c r="V22" s="230"/>
      <c r="W22" s="230"/>
      <c r="X22" s="230"/>
      <c r="Y22" s="230"/>
      <c r="Z22" s="230"/>
      <c r="AA22" s="230"/>
      <c r="AB22" s="230"/>
      <c r="AC22" s="230"/>
      <c r="AD22" s="230"/>
      <c r="AE22" s="230"/>
      <c r="AF22" s="230"/>
    </row>
    <row r="23" spans="1:32">
      <c r="A23" s="98"/>
      <c r="B23" s="38"/>
      <c r="C23" s="107"/>
      <c r="D23" s="38"/>
      <c r="E23" s="107"/>
      <c r="F23" s="854" t="s">
        <v>921</v>
      </c>
      <c r="G23" s="854" t="s">
        <v>921</v>
      </c>
      <c r="H23" s="854" t="s">
        <v>921</v>
      </c>
      <c r="I23" s="523" t="str">
        <f t="shared" ref="I23:I57" si="4">IFERROR(IF(OR(ISBLANK(F23),F23="&lt;enter factor&gt;"),L23,$E23/1000*F23),"")</f>
        <v/>
      </c>
      <c r="J23" s="523" t="str">
        <f>IFERROR(IF(OR(ISBLANK(G23),G23="&lt;enter factor&gt;"),M23,$E23/1000*G23),"")</f>
        <v/>
      </c>
      <c r="K23" s="523" t="str">
        <f>IFERROR(IF(OR(ISBLANK(H23),H23="&lt;enter factor&gt;"),N23,$E23/1000*H23),"")</f>
        <v/>
      </c>
      <c r="L23" s="523" t="str">
        <f t="shared" si="3"/>
        <v/>
      </c>
      <c r="M23" s="548" t="str">
        <f t="shared" si="0"/>
        <v/>
      </c>
      <c r="N23" s="548" t="str">
        <f t="shared" si="1"/>
        <v/>
      </c>
      <c r="O23" s="230"/>
      <c r="P23" s="230"/>
      <c r="Q23" s="230"/>
      <c r="R23" s="230"/>
      <c r="S23" s="230"/>
      <c r="T23" s="230"/>
      <c r="U23" s="230"/>
      <c r="V23" s="230"/>
      <c r="W23" s="230"/>
      <c r="X23" s="230"/>
      <c r="Y23" s="230"/>
      <c r="Z23" s="230"/>
      <c r="AA23" s="230"/>
      <c r="AB23" s="230"/>
      <c r="AC23" s="230"/>
      <c r="AD23" s="230"/>
      <c r="AE23" s="230"/>
      <c r="AF23" s="230"/>
    </row>
    <row r="24" spans="1:32">
      <c r="A24" s="98"/>
      <c r="B24" s="38"/>
      <c r="C24" s="107"/>
      <c r="D24" s="38"/>
      <c r="E24" s="107"/>
      <c r="F24" s="854" t="s">
        <v>921</v>
      </c>
      <c r="G24" s="854" t="s">
        <v>921</v>
      </c>
      <c r="H24" s="854" t="s">
        <v>921</v>
      </c>
      <c r="I24" s="523" t="str">
        <f t="shared" si="4"/>
        <v/>
      </c>
      <c r="J24" s="523" t="str">
        <f t="shared" ref="J24:J57" si="5">IFERROR(IF(OR(ISBLANK(G24),G24="&lt;enter factor&gt;"),M24,$E24/1000*G24),"")</f>
        <v/>
      </c>
      <c r="K24" s="523" t="str">
        <f t="shared" ref="K24:K57" si="6">IFERROR(IF(OR(ISBLANK(H24),H24="&lt;enter factor&gt;"),N24,$E24/1000*H24),"")</f>
        <v/>
      </c>
      <c r="L24" s="523" t="str">
        <f t="shared" si="3"/>
        <v/>
      </c>
      <c r="M24" s="548" t="str">
        <f t="shared" si="0"/>
        <v/>
      </c>
      <c r="N24" s="548" t="str">
        <f t="shared" si="1"/>
        <v/>
      </c>
      <c r="O24" s="230"/>
      <c r="P24" s="230"/>
      <c r="Q24" s="230"/>
      <c r="R24" s="230"/>
      <c r="S24" s="230"/>
      <c r="T24" s="230"/>
      <c r="U24" s="230"/>
      <c r="V24" s="230"/>
      <c r="W24" s="230"/>
      <c r="X24" s="230"/>
      <c r="Y24" s="230"/>
      <c r="Z24" s="230"/>
      <c r="AA24" s="230"/>
      <c r="AB24" s="230"/>
      <c r="AC24" s="230"/>
      <c r="AD24" s="230"/>
      <c r="AE24" s="230"/>
      <c r="AF24" s="230"/>
    </row>
    <row r="25" spans="1:32">
      <c r="A25" s="98"/>
      <c r="B25" s="38"/>
      <c r="C25" s="107"/>
      <c r="D25" s="38"/>
      <c r="E25" s="107"/>
      <c r="F25" s="854" t="s">
        <v>921</v>
      </c>
      <c r="G25" s="854" t="s">
        <v>921</v>
      </c>
      <c r="H25" s="854" t="s">
        <v>921</v>
      </c>
      <c r="I25" s="523" t="str">
        <f t="shared" si="4"/>
        <v/>
      </c>
      <c r="J25" s="523" t="str">
        <f t="shared" si="5"/>
        <v/>
      </c>
      <c r="K25" s="523" t="str">
        <f t="shared" si="6"/>
        <v/>
      </c>
      <c r="L25" s="523" t="str">
        <f t="shared" si="3"/>
        <v/>
      </c>
      <c r="M25" s="548" t="str">
        <f t="shared" si="0"/>
        <v/>
      </c>
      <c r="N25" s="548" t="str">
        <f t="shared" si="1"/>
        <v/>
      </c>
      <c r="O25" s="230"/>
      <c r="P25" s="230"/>
      <c r="Q25" s="230"/>
      <c r="R25" s="230"/>
      <c r="S25" s="230"/>
      <c r="T25" s="230"/>
      <c r="U25" s="230"/>
      <c r="V25" s="230"/>
      <c r="W25" s="230"/>
      <c r="X25" s="230"/>
      <c r="Y25" s="230"/>
      <c r="Z25" s="230"/>
      <c r="AA25" s="230"/>
      <c r="AB25" s="230"/>
      <c r="AC25" s="230"/>
      <c r="AD25" s="230"/>
      <c r="AE25" s="230"/>
      <c r="AF25" s="230"/>
    </row>
    <row r="26" spans="1:32">
      <c r="A26" s="98"/>
      <c r="B26" s="38"/>
      <c r="C26" s="107"/>
      <c r="D26" s="38"/>
      <c r="E26" s="107"/>
      <c r="F26" s="854" t="s">
        <v>921</v>
      </c>
      <c r="G26" s="854" t="s">
        <v>921</v>
      </c>
      <c r="H26" s="854" t="s">
        <v>921</v>
      </c>
      <c r="I26" s="523" t="str">
        <f t="shared" si="4"/>
        <v/>
      </c>
      <c r="J26" s="523" t="str">
        <f t="shared" si="5"/>
        <v/>
      </c>
      <c r="K26" s="523" t="str">
        <f t="shared" si="6"/>
        <v/>
      </c>
      <c r="L26" s="523" t="str">
        <f t="shared" si="3"/>
        <v/>
      </c>
      <c r="M26" s="548" t="str">
        <f t="shared" si="0"/>
        <v/>
      </c>
      <c r="N26" s="548" t="str">
        <f t="shared" si="1"/>
        <v/>
      </c>
      <c r="O26" s="230"/>
      <c r="P26" s="230"/>
      <c r="Q26" s="230"/>
      <c r="R26" s="230"/>
      <c r="S26" s="230"/>
      <c r="T26" s="230"/>
      <c r="U26" s="230"/>
      <c r="V26" s="230"/>
      <c r="W26" s="230"/>
      <c r="X26" s="230"/>
      <c r="Y26" s="230"/>
      <c r="Z26" s="230"/>
      <c r="AA26" s="230"/>
      <c r="AB26" s="230"/>
      <c r="AC26" s="230"/>
      <c r="AD26" s="230"/>
      <c r="AE26" s="230"/>
      <c r="AF26" s="230"/>
    </row>
    <row r="27" spans="1:32">
      <c r="A27" s="98"/>
      <c r="B27" s="38"/>
      <c r="C27" s="107"/>
      <c r="D27" s="38"/>
      <c r="E27" s="107"/>
      <c r="F27" s="854" t="s">
        <v>921</v>
      </c>
      <c r="G27" s="854" t="s">
        <v>921</v>
      </c>
      <c r="H27" s="854" t="s">
        <v>921</v>
      </c>
      <c r="I27" s="523" t="str">
        <f t="shared" si="4"/>
        <v/>
      </c>
      <c r="J27" s="523" t="str">
        <f t="shared" si="5"/>
        <v/>
      </c>
      <c r="K27" s="523" t="str">
        <f t="shared" si="6"/>
        <v/>
      </c>
      <c r="L27" s="523" t="str">
        <f t="shared" si="3"/>
        <v/>
      </c>
      <c r="M27" s="548" t="str">
        <f t="shared" si="0"/>
        <v/>
      </c>
      <c r="N27" s="548" t="str">
        <f t="shared" si="1"/>
        <v/>
      </c>
      <c r="O27" s="230"/>
      <c r="P27" s="230"/>
      <c r="Q27" s="230"/>
      <c r="R27" s="230"/>
      <c r="S27" s="230"/>
      <c r="T27" s="230"/>
      <c r="U27" s="230"/>
      <c r="V27" s="230"/>
      <c r="W27" s="230"/>
      <c r="X27" s="230"/>
      <c r="Y27" s="230"/>
      <c r="Z27" s="230"/>
      <c r="AA27" s="230"/>
      <c r="AB27" s="230"/>
      <c r="AC27" s="230"/>
      <c r="AD27" s="230"/>
      <c r="AE27" s="230"/>
      <c r="AF27" s="230"/>
    </row>
    <row r="28" spans="1:32">
      <c r="A28" s="98"/>
      <c r="B28" s="38"/>
      <c r="C28" s="107"/>
      <c r="D28" s="38"/>
      <c r="E28" s="107"/>
      <c r="F28" s="854" t="s">
        <v>921</v>
      </c>
      <c r="G28" s="854" t="s">
        <v>921</v>
      </c>
      <c r="H28" s="854" t="s">
        <v>921</v>
      </c>
      <c r="I28" s="523" t="str">
        <f t="shared" si="4"/>
        <v/>
      </c>
      <c r="J28" s="523" t="str">
        <f t="shared" si="5"/>
        <v/>
      </c>
      <c r="K28" s="523" t="str">
        <f t="shared" si="6"/>
        <v/>
      </c>
      <c r="L28" s="523" t="str">
        <f t="shared" si="3"/>
        <v/>
      </c>
      <c r="M28" s="548" t="str">
        <f t="shared" si="0"/>
        <v/>
      </c>
      <c r="N28" s="548" t="str">
        <f t="shared" si="1"/>
        <v/>
      </c>
      <c r="O28" s="230"/>
      <c r="P28" s="230"/>
      <c r="Q28" s="230"/>
      <c r="R28" s="230"/>
      <c r="S28" s="230"/>
      <c r="T28" s="230"/>
      <c r="U28" s="230"/>
      <c r="V28" s="230"/>
      <c r="W28" s="230"/>
      <c r="X28" s="230"/>
      <c r="Y28" s="230"/>
      <c r="Z28" s="230"/>
      <c r="AA28" s="230"/>
      <c r="AB28" s="230"/>
      <c r="AC28" s="230"/>
      <c r="AD28" s="230"/>
      <c r="AE28" s="230"/>
      <c r="AF28" s="230"/>
    </row>
    <row r="29" spans="1:32">
      <c r="A29" s="98"/>
      <c r="B29" s="38"/>
      <c r="C29" s="107"/>
      <c r="D29" s="38"/>
      <c r="E29" s="107"/>
      <c r="F29" s="854" t="s">
        <v>921</v>
      </c>
      <c r="G29" s="854" t="s">
        <v>921</v>
      </c>
      <c r="H29" s="854" t="s">
        <v>921</v>
      </c>
      <c r="I29" s="523" t="str">
        <f t="shared" si="4"/>
        <v/>
      </c>
      <c r="J29" s="523" t="str">
        <f t="shared" si="5"/>
        <v/>
      </c>
      <c r="K29" s="523" t="str">
        <f t="shared" si="6"/>
        <v/>
      </c>
      <c r="L29" s="523" t="str">
        <f t="shared" si="3"/>
        <v/>
      </c>
      <c r="M29" s="548" t="str">
        <f t="shared" si="0"/>
        <v/>
      </c>
      <c r="N29" s="548" t="str">
        <f t="shared" si="1"/>
        <v/>
      </c>
      <c r="O29" s="230"/>
      <c r="P29" s="230"/>
      <c r="Q29" s="230"/>
      <c r="R29" s="230"/>
      <c r="S29" s="230"/>
      <c r="T29" s="230"/>
      <c r="U29" s="230"/>
      <c r="V29" s="230"/>
      <c r="W29" s="230"/>
      <c r="X29" s="230"/>
      <c r="Y29" s="230"/>
      <c r="Z29" s="230"/>
      <c r="AA29" s="230"/>
      <c r="AB29" s="230"/>
      <c r="AC29" s="230"/>
      <c r="AD29" s="230"/>
      <c r="AE29" s="230"/>
      <c r="AF29" s="230"/>
    </row>
    <row r="30" spans="1:32">
      <c r="A30" s="98"/>
      <c r="B30" s="38"/>
      <c r="C30" s="107"/>
      <c r="D30" s="38"/>
      <c r="E30" s="107"/>
      <c r="F30" s="854" t="s">
        <v>921</v>
      </c>
      <c r="G30" s="854" t="s">
        <v>921</v>
      </c>
      <c r="H30" s="854" t="s">
        <v>921</v>
      </c>
      <c r="I30" s="523" t="str">
        <f t="shared" si="4"/>
        <v/>
      </c>
      <c r="J30" s="523" t="str">
        <f t="shared" si="5"/>
        <v/>
      </c>
      <c r="K30" s="523" t="str">
        <f t="shared" si="6"/>
        <v/>
      </c>
      <c r="L30" s="523" t="str">
        <f t="shared" si="3"/>
        <v/>
      </c>
      <c r="M30" s="548" t="str">
        <f t="shared" si="0"/>
        <v/>
      </c>
      <c r="N30" s="548" t="str">
        <f t="shared" si="1"/>
        <v/>
      </c>
      <c r="O30" s="230"/>
      <c r="P30" s="230"/>
      <c r="Q30" s="230"/>
      <c r="R30" s="230"/>
      <c r="S30" s="230"/>
      <c r="T30" s="230"/>
      <c r="U30" s="230"/>
      <c r="V30" s="230"/>
      <c r="W30" s="230"/>
      <c r="X30" s="230"/>
      <c r="Y30" s="230"/>
      <c r="Z30" s="230"/>
      <c r="AA30" s="230"/>
      <c r="AB30" s="230"/>
      <c r="AC30" s="230"/>
      <c r="AD30" s="230"/>
      <c r="AE30" s="230"/>
      <c r="AF30" s="230"/>
    </row>
    <row r="31" spans="1:32">
      <c r="A31" s="98"/>
      <c r="B31" s="38"/>
      <c r="C31" s="107"/>
      <c r="D31" s="38"/>
      <c r="E31" s="107"/>
      <c r="F31" s="854" t="s">
        <v>921</v>
      </c>
      <c r="G31" s="854" t="s">
        <v>921</v>
      </c>
      <c r="H31" s="854" t="s">
        <v>921</v>
      </c>
      <c r="I31" s="523" t="str">
        <f t="shared" si="4"/>
        <v/>
      </c>
      <c r="J31" s="523" t="str">
        <f t="shared" si="5"/>
        <v/>
      </c>
      <c r="K31" s="523" t="str">
        <f t="shared" si="6"/>
        <v/>
      </c>
      <c r="L31" s="523" t="str">
        <f t="shared" si="3"/>
        <v/>
      </c>
      <c r="M31" s="548" t="str">
        <f t="shared" si="0"/>
        <v/>
      </c>
      <c r="N31" s="548" t="str">
        <f t="shared" si="1"/>
        <v/>
      </c>
      <c r="O31" s="230"/>
      <c r="P31" s="230"/>
      <c r="Q31" s="230"/>
      <c r="R31" s="230"/>
      <c r="S31" s="230"/>
      <c r="T31" s="230"/>
      <c r="U31" s="230"/>
      <c r="V31" s="230"/>
      <c r="W31" s="230"/>
      <c r="X31" s="230"/>
      <c r="Y31" s="230"/>
      <c r="Z31" s="230"/>
      <c r="AA31" s="230"/>
      <c r="AB31" s="230"/>
      <c r="AC31" s="230"/>
      <c r="AD31" s="230"/>
      <c r="AE31" s="230"/>
      <c r="AF31" s="230"/>
    </row>
    <row r="32" spans="1:32">
      <c r="A32" s="98"/>
      <c r="B32" s="38"/>
      <c r="C32" s="107"/>
      <c r="D32" s="38"/>
      <c r="E32" s="107"/>
      <c r="F32" s="854" t="s">
        <v>921</v>
      </c>
      <c r="G32" s="854" t="s">
        <v>921</v>
      </c>
      <c r="H32" s="854" t="s">
        <v>921</v>
      </c>
      <c r="I32" s="523" t="str">
        <f t="shared" si="4"/>
        <v/>
      </c>
      <c r="J32" s="523" t="str">
        <f t="shared" si="5"/>
        <v/>
      </c>
      <c r="K32" s="523" t="str">
        <f t="shared" si="6"/>
        <v/>
      </c>
      <c r="L32" s="523" t="str">
        <f t="shared" si="3"/>
        <v/>
      </c>
      <c r="M32" s="548" t="str">
        <f t="shared" si="0"/>
        <v/>
      </c>
      <c r="N32" s="548" t="str">
        <f t="shared" si="1"/>
        <v/>
      </c>
      <c r="O32" s="230"/>
      <c r="P32" s="230"/>
      <c r="Q32" s="230"/>
      <c r="R32" s="230"/>
      <c r="S32" s="230"/>
      <c r="T32" s="230"/>
      <c r="U32" s="230"/>
      <c r="V32" s="230"/>
      <c r="W32" s="230"/>
      <c r="X32" s="230"/>
      <c r="Y32" s="230"/>
      <c r="Z32" s="230"/>
      <c r="AA32" s="230"/>
      <c r="AB32" s="230"/>
      <c r="AC32" s="230"/>
      <c r="AD32" s="230"/>
      <c r="AE32" s="230"/>
      <c r="AF32" s="230"/>
    </row>
    <row r="33" spans="1:32">
      <c r="A33" s="98"/>
      <c r="B33" s="38"/>
      <c r="C33" s="107"/>
      <c r="D33" s="38"/>
      <c r="E33" s="107"/>
      <c r="F33" s="854" t="s">
        <v>921</v>
      </c>
      <c r="G33" s="854" t="s">
        <v>921</v>
      </c>
      <c r="H33" s="854" t="s">
        <v>921</v>
      </c>
      <c r="I33" s="523" t="str">
        <f t="shared" si="4"/>
        <v/>
      </c>
      <c r="J33" s="523" t="str">
        <f t="shared" si="5"/>
        <v/>
      </c>
      <c r="K33" s="523" t="str">
        <f t="shared" si="6"/>
        <v/>
      </c>
      <c r="L33" s="523" t="str">
        <f t="shared" si="3"/>
        <v/>
      </c>
      <c r="M33" s="548" t="str">
        <f t="shared" si="0"/>
        <v/>
      </c>
      <c r="N33" s="548" t="str">
        <f t="shared" si="1"/>
        <v/>
      </c>
      <c r="O33" s="230"/>
      <c r="P33" s="230"/>
      <c r="Q33" s="230"/>
      <c r="R33" s="230"/>
      <c r="S33" s="230"/>
      <c r="T33" s="230"/>
      <c r="U33" s="230"/>
      <c r="V33" s="230"/>
      <c r="W33" s="230"/>
      <c r="X33" s="230"/>
      <c r="Y33" s="230"/>
      <c r="Z33" s="230"/>
      <c r="AA33" s="230"/>
      <c r="AB33" s="230"/>
      <c r="AC33" s="230"/>
      <c r="AD33" s="230"/>
      <c r="AE33" s="230"/>
      <c r="AF33" s="230"/>
    </row>
    <row r="34" spans="1:32">
      <c r="A34" s="98"/>
      <c r="B34" s="38"/>
      <c r="C34" s="107"/>
      <c r="D34" s="38"/>
      <c r="E34" s="107"/>
      <c r="F34" s="854" t="s">
        <v>921</v>
      </c>
      <c r="G34" s="854" t="s">
        <v>921</v>
      </c>
      <c r="H34" s="854" t="s">
        <v>921</v>
      </c>
      <c r="I34" s="523" t="str">
        <f t="shared" si="4"/>
        <v/>
      </c>
      <c r="J34" s="523" t="str">
        <f t="shared" si="5"/>
        <v/>
      </c>
      <c r="K34" s="523" t="str">
        <f t="shared" si="6"/>
        <v/>
      </c>
      <c r="L34" s="523" t="str">
        <f t="shared" si="3"/>
        <v/>
      </c>
      <c r="M34" s="548" t="str">
        <f t="shared" si="0"/>
        <v/>
      </c>
      <c r="N34" s="548" t="str">
        <f t="shared" si="1"/>
        <v/>
      </c>
      <c r="O34" s="230"/>
      <c r="P34" s="230"/>
      <c r="Q34" s="230"/>
      <c r="R34" s="230"/>
      <c r="S34" s="230"/>
      <c r="T34" s="230"/>
      <c r="U34" s="230"/>
      <c r="V34" s="230"/>
      <c r="W34" s="230"/>
      <c r="X34" s="230"/>
      <c r="Y34" s="230"/>
      <c r="Z34" s="230"/>
      <c r="AA34" s="230"/>
      <c r="AB34" s="230"/>
      <c r="AC34" s="230"/>
      <c r="AD34" s="230"/>
      <c r="AE34" s="230"/>
      <c r="AF34" s="230"/>
    </row>
    <row r="35" spans="1:32">
      <c r="A35" s="98"/>
      <c r="B35" s="38"/>
      <c r="C35" s="107"/>
      <c r="D35" s="38"/>
      <c r="E35" s="107"/>
      <c r="F35" s="854" t="s">
        <v>921</v>
      </c>
      <c r="G35" s="854" t="s">
        <v>921</v>
      </c>
      <c r="H35" s="854" t="s">
        <v>921</v>
      </c>
      <c r="I35" s="523" t="str">
        <f t="shared" si="4"/>
        <v/>
      </c>
      <c r="J35" s="523" t="str">
        <f t="shared" si="5"/>
        <v/>
      </c>
      <c r="K35" s="523" t="str">
        <f t="shared" si="6"/>
        <v/>
      </c>
      <c r="L35" s="523" t="str">
        <f t="shared" si="3"/>
        <v/>
      </c>
      <c r="M35" s="548" t="str">
        <f t="shared" si="0"/>
        <v/>
      </c>
      <c r="N35" s="548" t="str">
        <f t="shared" si="1"/>
        <v/>
      </c>
      <c r="O35" s="230"/>
      <c r="P35" s="230"/>
      <c r="Q35" s="230"/>
      <c r="R35" s="230"/>
      <c r="S35" s="230"/>
      <c r="T35" s="230"/>
      <c r="U35" s="230"/>
      <c r="V35" s="230"/>
      <c r="W35" s="230"/>
      <c r="X35" s="230"/>
      <c r="Y35" s="230"/>
      <c r="Z35" s="230"/>
      <c r="AA35" s="230"/>
      <c r="AB35" s="230"/>
      <c r="AC35" s="230"/>
      <c r="AD35" s="230"/>
      <c r="AE35" s="230"/>
      <c r="AF35" s="230"/>
    </row>
    <row r="36" spans="1:32">
      <c r="A36" s="98"/>
      <c r="B36" s="38"/>
      <c r="C36" s="107"/>
      <c r="D36" s="38"/>
      <c r="E36" s="107"/>
      <c r="F36" s="854" t="s">
        <v>921</v>
      </c>
      <c r="G36" s="854" t="s">
        <v>921</v>
      </c>
      <c r="H36" s="854" t="s">
        <v>921</v>
      </c>
      <c r="I36" s="523" t="str">
        <f t="shared" si="4"/>
        <v/>
      </c>
      <c r="J36" s="523" t="str">
        <f t="shared" si="5"/>
        <v/>
      </c>
      <c r="K36" s="523" t="str">
        <f t="shared" si="6"/>
        <v/>
      </c>
      <c r="L36" s="523" t="str">
        <f t="shared" si="3"/>
        <v/>
      </c>
      <c r="M36" s="548" t="str">
        <f t="shared" si="0"/>
        <v/>
      </c>
      <c r="N36" s="548" t="str">
        <f t="shared" si="1"/>
        <v/>
      </c>
      <c r="O36" s="230"/>
      <c r="P36" s="230"/>
      <c r="Q36" s="230"/>
      <c r="R36" s="230"/>
      <c r="S36" s="230"/>
      <c r="T36" s="230"/>
      <c r="U36" s="230"/>
      <c r="V36" s="230"/>
      <c r="W36" s="230"/>
      <c r="X36" s="230"/>
      <c r="Y36" s="230"/>
      <c r="Z36" s="230"/>
      <c r="AA36" s="230"/>
      <c r="AB36" s="230"/>
      <c r="AC36" s="230"/>
      <c r="AD36" s="230"/>
      <c r="AE36" s="230"/>
      <c r="AF36" s="230"/>
    </row>
    <row r="37" spans="1:32">
      <c r="A37" s="98"/>
      <c r="B37" s="38"/>
      <c r="C37" s="107"/>
      <c r="D37" s="38"/>
      <c r="E37" s="107"/>
      <c r="F37" s="854" t="s">
        <v>921</v>
      </c>
      <c r="G37" s="854" t="s">
        <v>921</v>
      </c>
      <c r="H37" s="854" t="s">
        <v>921</v>
      </c>
      <c r="I37" s="523" t="str">
        <f t="shared" si="4"/>
        <v/>
      </c>
      <c r="J37" s="523" t="str">
        <f t="shared" si="5"/>
        <v/>
      </c>
      <c r="K37" s="523" t="str">
        <f t="shared" si="6"/>
        <v/>
      </c>
      <c r="L37" s="523" t="str">
        <f t="shared" si="3"/>
        <v/>
      </c>
      <c r="M37" s="548" t="str">
        <f t="shared" si="0"/>
        <v/>
      </c>
      <c r="N37" s="548" t="str">
        <f t="shared" si="1"/>
        <v/>
      </c>
      <c r="O37" s="230"/>
      <c r="P37" s="230"/>
      <c r="Q37" s="230"/>
      <c r="R37" s="230"/>
      <c r="S37" s="230"/>
      <c r="T37" s="230"/>
      <c r="U37" s="230"/>
      <c r="V37" s="230"/>
      <c r="W37" s="230"/>
      <c r="X37" s="230"/>
      <c r="Y37" s="230"/>
      <c r="Z37" s="230"/>
      <c r="AA37" s="230"/>
      <c r="AB37" s="230"/>
      <c r="AC37" s="230"/>
      <c r="AD37" s="230"/>
      <c r="AE37" s="230"/>
      <c r="AF37" s="230"/>
    </row>
    <row r="38" spans="1:32">
      <c r="A38" s="98"/>
      <c r="B38" s="38"/>
      <c r="C38" s="107"/>
      <c r="D38" s="38"/>
      <c r="E38" s="107"/>
      <c r="F38" s="854" t="s">
        <v>921</v>
      </c>
      <c r="G38" s="854" t="s">
        <v>921</v>
      </c>
      <c r="H38" s="854" t="s">
        <v>921</v>
      </c>
      <c r="I38" s="523" t="str">
        <f t="shared" si="4"/>
        <v/>
      </c>
      <c r="J38" s="523" t="str">
        <f t="shared" si="5"/>
        <v/>
      </c>
      <c r="K38" s="523" t="str">
        <f t="shared" si="6"/>
        <v/>
      </c>
      <c r="L38" s="523" t="str">
        <f t="shared" si="3"/>
        <v/>
      </c>
      <c r="M38" s="548" t="str">
        <f t="shared" si="0"/>
        <v/>
      </c>
      <c r="N38" s="548" t="str">
        <f t="shared" si="1"/>
        <v/>
      </c>
      <c r="O38" s="230"/>
      <c r="P38" s="230"/>
      <c r="Q38" s="230"/>
      <c r="R38" s="230"/>
      <c r="S38" s="230"/>
      <c r="T38" s="230"/>
      <c r="U38" s="230"/>
      <c r="V38" s="230"/>
      <c r="W38" s="230"/>
      <c r="X38" s="230"/>
      <c r="Y38" s="230"/>
      <c r="Z38" s="230"/>
      <c r="AA38" s="230"/>
      <c r="AB38" s="230"/>
      <c r="AC38" s="230"/>
      <c r="AD38" s="230"/>
      <c r="AE38" s="230"/>
      <c r="AF38" s="230"/>
    </row>
    <row r="39" spans="1:32">
      <c r="A39" s="98"/>
      <c r="B39" s="38"/>
      <c r="C39" s="107"/>
      <c r="D39" s="38"/>
      <c r="E39" s="107"/>
      <c r="F39" s="854" t="s">
        <v>921</v>
      </c>
      <c r="G39" s="854" t="s">
        <v>921</v>
      </c>
      <c r="H39" s="854" t="s">
        <v>921</v>
      </c>
      <c r="I39" s="523" t="str">
        <f t="shared" si="4"/>
        <v/>
      </c>
      <c r="J39" s="523" t="str">
        <f t="shared" si="5"/>
        <v/>
      </c>
      <c r="K39" s="523" t="str">
        <f t="shared" si="6"/>
        <v/>
      </c>
      <c r="L39" s="523" t="str">
        <f t="shared" si="3"/>
        <v/>
      </c>
      <c r="M39" s="548" t="str">
        <f t="shared" si="0"/>
        <v/>
      </c>
      <c r="N39" s="548" t="str">
        <f t="shared" si="1"/>
        <v/>
      </c>
      <c r="O39" s="230"/>
      <c r="P39" s="230"/>
      <c r="Q39" s="230"/>
      <c r="R39" s="230"/>
      <c r="S39" s="230"/>
      <c r="T39" s="230"/>
      <c r="U39" s="230"/>
      <c r="V39" s="230"/>
      <c r="W39" s="230"/>
      <c r="X39" s="230"/>
      <c r="Y39" s="230"/>
      <c r="Z39" s="230"/>
      <c r="AA39" s="230"/>
      <c r="AB39" s="230"/>
      <c r="AC39" s="230"/>
      <c r="AD39" s="230"/>
      <c r="AE39" s="230"/>
      <c r="AF39" s="230"/>
    </row>
    <row r="40" spans="1:32">
      <c r="A40" s="98"/>
      <c r="B40" s="38"/>
      <c r="C40" s="107"/>
      <c r="D40" s="38"/>
      <c r="E40" s="107"/>
      <c r="F40" s="854" t="s">
        <v>921</v>
      </c>
      <c r="G40" s="854" t="s">
        <v>921</v>
      </c>
      <c r="H40" s="854" t="s">
        <v>921</v>
      </c>
      <c r="I40" s="523" t="str">
        <f t="shared" si="4"/>
        <v/>
      </c>
      <c r="J40" s="523" t="str">
        <f t="shared" si="5"/>
        <v/>
      </c>
      <c r="K40" s="523" t="str">
        <f t="shared" si="6"/>
        <v/>
      </c>
      <c r="L40" s="523" t="str">
        <f t="shared" si="3"/>
        <v/>
      </c>
      <c r="M40" s="548" t="str">
        <f t="shared" si="0"/>
        <v/>
      </c>
      <c r="N40" s="548" t="str">
        <f t="shared" si="1"/>
        <v/>
      </c>
      <c r="O40" s="230"/>
      <c r="P40" s="230"/>
      <c r="Q40" s="230"/>
      <c r="R40" s="230"/>
      <c r="S40" s="230"/>
      <c r="T40" s="230"/>
      <c r="U40" s="230"/>
      <c r="V40" s="230"/>
      <c r="W40" s="230"/>
      <c r="X40" s="230"/>
      <c r="Y40" s="230"/>
      <c r="Z40" s="230"/>
      <c r="AA40" s="230"/>
      <c r="AB40" s="230"/>
      <c r="AC40" s="230"/>
      <c r="AD40" s="230"/>
      <c r="AE40" s="230"/>
      <c r="AF40" s="230"/>
    </row>
    <row r="41" spans="1:32">
      <c r="A41" s="98"/>
      <c r="B41" s="38"/>
      <c r="C41" s="107"/>
      <c r="D41" s="38"/>
      <c r="E41" s="107"/>
      <c r="F41" s="854" t="s">
        <v>921</v>
      </c>
      <c r="G41" s="854" t="s">
        <v>921</v>
      </c>
      <c r="H41" s="854" t="s">
        <v>921</v>
      </c>
      <c r="I41" s="523" t="str">
        <f t="shared" si="4"/>
        <v/>
      </c>
      <c r="J41" s="523" t="str">
        <f t="shared" si="5"/>
        <v/>
      </c>
      <c r="K41" s="523" t="str">
        <f t="shared" si="6"/>
        <v/>
      </c>
      <c r="L41" s="523" t="str">
        <f t="shared" si="3"/>
        <v/>
      </c>
      <c r="M41" s="548" t="str">
        <f t="shared" si="0"/>
        <v/>
      </c>
      <c r="N41" s="548" t="str">
        <f t="shared" si="1"/>
        <v/>
      </c>
      <c r="O41" s="230"/>
      <c r="P41" s="230"/>
      <c r="Q41" s="230"/>
      <c r="R41" s="230"/>
      <c r="S41" s="230"/>
      <c r="T41" s="230"/>
      <c r="U41" s="230"/>
      <c r="V41" s="230"/>
      <c r="W41" s="230"/>
      <c r="X41" s="230"/>
      <c r="Y41" s="230"/>
      <c r="Z41" s="230"/>
      <c r="AA41" s="230"/>
      <c r="AB41" s="230"/>
      <c r="AC41" s="230"/>
      <c r="AD41" s="230"/>
      <c r="AE41" s="230"/>
      <c r="AF41" s="230"/>
    </row>
    <row r="42" spans="1:32">
      <c r="A42" s="98"/>
      <c r="B42" s="38"/>
      <c r="C42" s="107"/>
      <c r="D42" s="38"/>
      <c r="E42" s="107"/>
      <c r="F42" s="854" t="s">
        <v>921</v>
      </c>
      <c r="G42" s="854" t="s">
        <v>921</v>
      </c>
      <c r="H42" s="854" t="s">
        <v>921</v>
      </c>
      <c r="I42" s="523" t="str">
        <f t="shared" si="4"/>
        <v/>
      </c>
      <c r="J42" s="523" t="str">
        <f t="shared" si="5"/>
        <v/>
      </c>
      <c r="K42" s="523" t="str">
        <f t="shared" si="6"/>
        <v/>
      </c>
      <c r="L42" s="523" t="str">
        <f t="shared" si="3"/>
        <v/>
      </c>
      <c r="M42" s="548" t="str">
        <f t="shared" si="0"/>
        <v/>
      </c>
      <c r="N42" s="548" t="str">
        <f t="shared" si="1"/>
        <v/>
      </c>
      <c r="O42" s="230"/>
      <c r="P42" s="230"/>
      <c r="Q42" s="230"/>
      <c r="R42" s="230"/>
      <c r="S42" s="230"/>
      <c r="T42" s="230"/>
      <c r="U42" s="230"/>
      <c r="V42" s="230"/>
      <c r="W42" s="230"/>
      <c r="X42" s="230"/>
      <c r="Y42" s="230"/>
      <c r="Z42" s="230"/>
      <c r="AA42" s="230"/>
      <c r="AB42" s="230"/>
      <c r="AC42" s="230"/>
      <c r="AD42" s="230"/>
      <c r="AE42" s="230"/>
      <c r="AF42" s="230"/>
    </row>
    <row r="43" spans="1:32">
      <c r="A43" s="98"/>
      <c r="B43" s="38"/>
      <c r="C43" s="107"/>
      <c r="D43" s="38"/>
      <c r="E43" s="107"/>
      <c r="F43" s="854" t="s">
        <v>921</v>
      </c>
      <c r="G43" s="854" t="s">
        <v>921</v>
      </c>
      <c r="H43" s="854" t="s">
        <v>921</v>
      </c>
      <c r="I43" s="523" t="str">
        <f t="shared" si="4"/>
        <v/>
      </c>
      <c r="J43" s="523" t="str">
        <f t="shared" si="5"/>
        <v/>
      </c>
      <c r="K43" s="523" t="str">
        <f t="shared" si="6"/>
        <v/>
      </c>
      <c r="L43" s="523" t="str">
        <f t="shared" si="3"/>
        <v/>
      </c>
      <c r="M43" s="548" t="str">
        <f t="shared" si="0"/>
        <v/>
      </c>
      <c r="N43" s="548" t="str">
        <f t="shared" si="1"/>
        <v/>
      </c>
      <c r="O43" s="230"/>
      <c r="P43" s="230"/>
      <c r="Q43" s="230"/>
      <c r="R43" s="230"/>
      <c r="S43" s="230"/>
      <c r="T43" s="230"/>
      <c r="U43" s="230"/>
      <c r="V43" s="230"/>
      <c r="W43" s="230"/>
      <c r="X43" s="230"/>
      <c r="Y43" s="230"/>
      <c r="Z43" s="230"/>
      <c r="AA43" s="230"/>
      <c r="AB43" s="230"/>
      <c r="AC43" s="230"/>
      <c r="AD43" s="230"/>
      <c r="AE43" s="230"/>
      <c r="AF43" s="230"/>
    </row>
    <row r="44" spans="1:32">
      <c r="A44" s="98"/>
      <c r="B44" s="38"/>
      <c r="C44" s="107"/>
      <c r="D44" s="38"/>
      <c r="E44" s="524"/>
      <c r="F44" s="854" t="s">
        <v>921</v>
      </c>
      <c r="G44" s="854" t="s">
        <v>921</v>
      </c>
      <c r="H44" s="854" t="s">
        <v>921</v>
      </c>
      <c r="I44" s="523" t="str">
        <f t="shared" si="4"/>
        <v/>
      </c>
      <c r="J44" s="523" t="str">
        <f t="shared" si="5"/>
        <v/>
      </c>
      <c r="K44" s="523" t="str">
        <f t="shared" si="6"/>
        <v/>
      </c>
      <c r="L44" s="523" t="str">
        <f t="shared" si="3"/>
        <v/>
      </c>
      <c r="M44" s="548" t="str">
        <f t="shared" si="0"/>
        <v/>
      </c>
      <c r="N44" s="548" t="str">
        <f t="shared" si="1"/>
        <v/>
      </c>
      <c r="O44" s="230"/>
      <c r="P44" s="230"/>
      <c r="Q44" s="230"/>
      <c r="R44" s="230"/>
      <c r="S44" s="230"/>
      <c r="T44" s="230"/>
      <c r="U44" s="230"/>
      <c r="V44" s="230"/>
      <c r="W44" s="230"/>
      <c r="X44" s="230"/>
      <c r="Y44" s="230"/>
      <c r="Z44" s="230"/>
      <c r="AA44" s="230"/>
      <c r="AB44" s="230"/>
      <c r="AC44" s="230"/>
      <c r="AD44" s="230"/>
      <c r="AE44" s="230"/>
      <c r="AF44" s="230"/>
    </row>
    <row r="45" spans="1:32">
      <c r="A45" s="98"/>
      <c r="B45" s="38"/>
      <c r="C45" s="107"/>
      <c r="D45" s="38"/>
      <c r="E45" s="107"/>
      <c r="F45" s="854" t="s">
        <v>921</v>
      </c>
      <c r="G45" s="854" t="s">
        <v>921</v>
      </c>
      <c r="H45" s="854" t="s">
        <v>921</v>
      </c>
      <c r="I45" s="523" t="str">
        <f t="shared" si="4"/>
        <v/>
      </c>
      <c r="J45" s="523" t="str">
        <f t="shared" si="5"/>
        <v/>
      </c>
      <c r="K45" s="523" t="str">
        <f t="shared" si="6"/>
        <v/>
      </c>
      <c r="L45" s="523" t="str">
        <f t="shared" si="3"/>
        <v/>
      </c>
      <c r="M45" s="548" t="str">
        <f t="shared" si="0"/>
        <v/>
      </c>
      <c r="N45" s="548" t="str">
        <f t="shared" si="1"/>
        <v/>
      </c>
      <c r="O45" s="230"/>
      <c r="P45" s="230"/>
      <c r="Q45" s="230"/>
      <c r="R45" s="230"/>
      <c r="S45" s="230"/>
      <c r="T45" s="230"/>
      <c r="U45" s="230"/>
      <c r="V45" s="230"/>
      <c r="W45" s="230"/>
      <c r="X45" s="230"/>
      <c r="Y45" s="230"/>
      <c r="Z45" s="230"/>
      <c r="AA45" s="230"/>
      <c r="AB45" s="230"/>
      <c r="AC45" s="230"/>
      <c r="AD45" s="230"/>
      <c r="AE45" s="230"/>
      <c r="AF45" s="230"/>
    </row>
    <row r="46" spans="1:32">
      <c r="A46" s="98"/>
      <c r="B46" s="38"/>
      <c r="C46" s="107"/>
      <c r="D46" s="38"/>
      <c r="E46" s="524"/>
      <c r="F46" s="854" t="s">
        <v>921</v>
      </c>
      <c r="G46" s="854" t="s">
        <v>921</v>
      </c>
      <c r="H46" s="854" t="s">
        <v>921</v>
      </c>
      <c r="I46" s="523" t="str">
        <f t="shared" si="4"/>
        <v/>
      </c>
      <c r="J46" s="523" t="str">
        <f t="shared" si="5"/>
        <v/>
      </c>
      <c r="K46" s="523" t="str">
        <f t="shared" si="6"/>
        <v/>
      </c>
      <c r="L46" s="523" t="str">
        <f t="shared" si="3"/>
        <v/>
      </c>
      <c r="M46" s="548" t="str">
        <f t="shared" si="0"/>
        <v/>
      </c>
      <c r="N46" s="548" t="str">
        <f t="shared" si="1"/>
        <v/>
      </c>
      <c r="O46" s="230"/>
      <c r="P46" s="230"/>
      <c r="Q46" s="230"/>
      <c r="R46" s="230"/>
      <c r="S46" s="230"/>
      <c r="T46" s="230"/>
      <c r="U46" s="230"/>
      <c r="V46" s="230"/>
      <c r="W46" s="230"/>
      <c r="X46" s="230"/>
      <c r="Y46" s="230"/>
      <c r="Z46" s="230"/>
      <c r="AA46" s="230"/>
      <c r="AB46" s="230"/>
      <c r="AC46" s="230"/>
      <c r="AD46" s="230"/>
      <c r="AE46" s="230"/>
      <c r="AF46" s="230"/>
    </row>
    <row r="47" spans="1:32">
      <c r="A47" s="98"/>
      <c r="B47" s="38"/>
      <c r="C47" s="107"/>
      <c r="D47" s="38"/>
      <c r="E47" s="524"/>
      <c r="F47" s="854" t="s">
        <v>921</v>
      </c>
      <c r="G47" s="854" t="s">
        <v>921</v>
      </c>
      <c r="H47" s="854" t="s">
        <v>921</v>
      </c>
      <c r="I47" s="523" t="str">
        <f t="shared" si="4"/>
        <v/>
      </c>
      <c r="J47" s="523" t="str">
        <f t="shared" si="5"/>
        <v/>
      </c>
      <c r="K47" s="523" t="str">
        <f t="shared" si="6"/>
        <v/>
      </c>
      <c r="L47" s="523" t="str">
        <f t="shared" si="3"/>
        <v/>
      </c>
      <c r="M47" s="548" t="str">
        <f t="shared" si="0"/>
        <v/>
      </c>
      <c r="N47" s="548" t="str">
        <f t="shared" si="1"/>
        <v/>
      </c>
      <c r="O47" s="230"/>
      <c r="P47" s="230"/>
      <c r="Q47" s="230"/>
      <c r="R47" s="230"/>
      <c r="S47" s="230"/>
      <c r="T47" s="230"/>
      <c r="U47" s="230"/>
      <c r="V47" s="230"/>
      <c r="W47" s="230"/>
      <c r="X47" s="230"/>
      <c r="Y47" s="230"/>
      <c r="Z47" s="230"/>
      <c r="AA47" s="230"/>
      <c r="AB47" s="230"/>
      <c r="AC47" s="230"/>
      <c r="AD47" s="230"/>
      <c r="AE47" s="230"/>
      <c r="AF47" s="230"/>
    </row>
    <row r="48" spans="1:32">
      <c r="A48" s="98"/>
      <c r="B48" s="38"/>
      <c r="C48" s="107"/>
      <c r="D48" s="38"/>
      <c r="E48" s="524"/>
      <c r="F48" s="854" t="s">
        <v>921</v>
      </c>
      <c r="G48" s="854" t="s">
        <v>921</v>
      </c>
      <c r="H48" s="854" t="s">
        <v>921</v>
      </c>
      <c r="I48" s="523" t="str">
        <f t="shared" si="4"/>
        <v/>
      </c>
      <c r="J48" s="523" t="str">
        <f t="shared" si="5"/>
        <v/>
      </c>
      <c r="K48" s="523" t="str">
        <f t="shared" si="6"/>
        <v/>
      </c>
      <c r="L48" s="523" t="str">
        <f t="shared" si="3"/>
        <v/>
      </c>
      <c r="M48" s="548" t="str">
        <f t="shared" si="0"/>
        <v/>
      </c>
      <c r="N48" s="548" t="str">
        <f t="shared" si="1"/>
        <v/>
      </c>
      <c r="O48" s="230"/>
      <c r="P48" s="230"/>
      <c r="Q48" s="230"/>
      <c r="R48" s="230"/>
      <c r="S48" s="230"/>
      <c r="T48" s="230"/>
      <c r="U48" s="230"/>
      <c r="V48" s="230"/>
      <c r="W48" s="230"/>
      <c r="X48" s="230"/>
      <c r="Y48" s="230"/>
      <c r="Z48" s="230"/>
      <c r="AA48" s="230"/>
      <c r="AB48" s="230"/>
      <c r="AC48" s="230"/>
      <c r="AD48" s="230"/>
      <c r="AE48" s="230"/>
      <c r="AF48" s="230"/>
    </row>
    <row r="49" spans="1:32">
      <c r="A49" s="98"/>
      <c r="B49" s="38"/>
      <c r="C49" s="107"/>
      <c r="D49" s="38"/>
      <c r="E49" s="524"/>
      <c r="F49" s="854" t="s">
        <v>921</v>
      </c>
      <c r="G49" s="854" t="s">
        <v>921</v>
      </c>
      <c r="H49" s="854" t="s">
        <v>921</v>
      </c>
      <c r="I49" s="523" t="str">
        <f t="shared" si="4"/>
        <v/>
      </c>
      <c r="J49" s="523" t="str">
        <f t="shared" si="5"/>
        <v/>
      </c>
      <c r="K49" s="523" t="str">
        <f t="shared" si="6"/>
        <v/>
      </c>
      <c r="L49" s="523" t="str">
        <f t="shared" si="3"/>
        <v/>
      </c>
      <c r="M49" s="548" t="str">
        <f t="shared" si="0"/>
        <v/>
      </c>
      <c r="N49" s="548" t="str">
        <f t="shared" si="1"/>
        <v/>
      </c>
      <c r="O49" s="230"/>
      <c r="P49" s="230"/>
      <c r="Q49" s="230"/>
      <c r="R49" s="230"/>
      <c r="S49" s="230"/>
      <c r="T49" s="230"/>
      <c r="U49" s="230"/>
      <c r="V49" s="230"/>
      <c r="W49" s="230"/>
      <c r="X49" s="230"/>
      <c r="Y49" s="230"/>
      <c r="Z49" s="230"/>
      <c r="AA49" s="230"/>
      <c r="AB49" s="230"/>
      <c r="AC49" s="230"/>
      <c r="AD49" s="230"/>
      <c r="AE49" s="230"/>
      <c r="AF49" s="230"/>
    </row>
    <row r="50" spans="1:32">
      <c r="A50" s="98"/>
      <c r="B50" s="38"/>
      <c r="C50" s="107"/>
      <c r="D50" s="38"/>
      <c r="E50" s="524"/>
      <c r="F50" s="854" t="s">
        <v>921</v>
      </c>
      <c r="G50" s="854" t="s">
        <v>921</v>
      </c>
      <c r="H50" s="854" t="s">
        <v>921</v>
      </c>
      <c r="I50" s="523" t="str">
        <f t="shared" si="4"/>
        <v/>
      </c>
      <c r="J50" s="523" t="str">
        <f t="shared" si="5"/>
        <v/>
      </c>
      <c r="K50" s="523" t="str">
        <f t="shared" si="6"/>
        <v/>
      </c>
      <c r="L50" s="523" t="str">
        <f t="shared" si="3"/>
        <v/>
      </c>
      <c r="M50" s="548" t="str">
        <f t="shared" si="0"/>
        <v/>
      </c>
      <c r="N50" s="548" t="str">
        <f t="shared" si="1"/>
        <v/>
      </c>
      <c r="O50" s="230"/>
      <c r="P50" s="230"/>
      <c r="Q50" s="230"/>
      <c r="R50" s="230"/>
      <c r="S50" s="230"/>
      <c r="T50" s="230"/>
      <c r="U50" s="230"/>
      <c r="V50" s="230"/>
      <c r="W50" s="230"/>
      <c r="X50" s="230"/>
      <c r="Y50" s="230"/>
      <c r="Z50" s="230"/>
      <c r="AA50" s="230"/>
      <c r="AB50" s="230"/>
      <c r="AC50" s="230"/>
      <c r="AD50" s="230"/>
      <c r="AE50" s="230"/>
      <c r="AF50" s="230"/>
    </row>
    <row r="51" spans="1:32">
      <c r="A51" s="98"/>
      <c r="B51" s="38"/>
      <c r="C51" s="107"/>
      <c r="D51" s="38"/>
      <c r="E51" s="524"/>
      <c r="F51" s="854" t="s">
        <v>921</v>
      </c>
      <c r="G51" s="854" t="s">
        <v>921</v>
      </c>
      <c r="H51" s="854" t="s">
        <v>921</v>
      </c>
      <c r="I51" s="523" t="str">
        <f t="shared" si="4"/>
        <v/>
      </c>
      <c r="J51" s="523" t="str">
        <f t="shared" si="5"/>
        <v/>
      </c>
      <c r="K51" s="523" t="str">
        <f t="shared" si="6"/>
        <v/>
      </c>
      <c r="L51" s="523" t="str">
        <f t="shared" si="3"/>
        <v/>
      </c>
      <c r="M51" s="548" t="str">
        <f t="shared" si="0"/>
        <v/>
      </c>
      <c r="N51" s="548" t="str">
        <f t="shared" si="1"/>
        <v/>
      </c>
      <c r="O51" s="230"/>
      <c r="P51" s="230"/>
      <c r="Q51" s="230"/>
      <c r="R51" s="230"/>
      <c r="S51" s="230"/>
      <c r="T51" s="230"/>
      <c r="U51" s="230"/>
      <c r="V51" s="230"/>
      <c r="W51" s="230"/>
      <c r="X51" s="230"/>
      <c r="Y51" s="230"/>
      <c r="Z51" s="230"/>
      <c r="AA51" s="230"/>
      <c r="AB51" s="230"/>
      <c r="AC51" s="230"/>
      <c r="AD51" s="230"/>
      <c r="AE51" s="230"/>
      <c r="AF51" s="230"/>
    </row>
    <row r="52" spans="1:32">
      <c r="A52" s="98"/>
      <c r="B52" s="38"/>
      <c r="C52" s="107"/>
      <c r="D52" s="38"/>
      <c r="E52" s="524"/>
      <c r="F52" s="854" t="s">
        <v>921</v>
      </c>
      <c r="G52" s="854" t="s">
        <v>921</v>
      </c>
      <c r="H52" s="854" t="s">
        <v>921</v>
      </c>
      <c r="I52" s="523" t="str">
        <f t="shared" si="4"/>
        <v/>
      </c>
      <c r="J52" s="523" t="str">
        <f t="shared" si="5"/>
        <v/>
      </c>
      <c r="K52" s="523" t="str">
        <f t="shared" si="6"/>
        <v/>
      </c>
      <c r="L52" s="523" t="str">
        <f t="shared" si="3"/>
        <v/>
      </c>
      <c r="M52" s="548" t="str">
        <f t="shared" si="0"/>
        <v/>
      </c>
      <c r="N52" s="548" t="str">
        <f t="shared" si="1"/>
        <v/>
      </c>
      <c r="O52" s="230"/>
      <c r="P52" s="230"/>
      <c r="Q52" s="230"/>
      <c r="R52" s="230"/>
      <c r="S52" s="230"/>
      <c r="T52" s="230"/>
      <c r="U52" s="230"/>
      <c r="V52" s="230"/>
      <c r="W52" s="230"/>
      <c r="X52" s="230"/>
      <c r="Y52" s="230"/>
      <c r="Z52" s="230"/>
      <c r="AA52" s="230"/>
      <c r="AB52" s="230"/>
      <c r="AC52" s="230"/>
      <c r="AD52" s="230"/>
      <c r="AE52" s="230"/>
      <c r="AF52" s="230"/>
    </row>
    <row r="53" spans="1:32">
      <c r="A53" s="98"/>
      <c r="B53" s="38"/>
      <c r="C53" s="107"/>
      <c r="D53" s="38"/>
      <c r="E53" s="524"/>
      <c r="F53" s="854" t="s">
        <v>921</v>
      </c>
      <c r="G53" s="854" t="s">
        <v>921</v>
      </c>
      <c r="H53" s="854" t="s">
        <v>921</v>
      </c>
      <c r="I53" s="523" t="str">
        <f t="shared" si="4"/>
        <v/>
      </c>
      <c r="J53" s="523" t="str">
        <f t="shared" si="5"/>
        <v/>
      </c>
      <c r="K53" s="523" t="str">
        <f t="shared" si="6"/>
        <v/>
      </c>
      <c r="L53" s="523" t="str">
        <f t="shared" si="3"/>
        <v/>
      </c>
      <c r="M53" s="548" t="str">
        <f t="shared" si="0"/>
        <v/>
      </c>
      <c r="N53" s="548" t="str">
        <f t="shared" si="1"/>
        <v/>
      </c>
      <c r="O53" s="230"/>
      <c r="P53" s="230"/>
      <c r="Q53" s="230"/>
      <c r="R53" s="230"/>
      <c r="S53" s="230"/>
      <c r="T53" s="230"/>
      <c r="U53" s="230"/>
      <c r="V53" s="230"/>
      <c r="W53" s="230"/>
      <c r="X53" s="230"/>
      <c r="Y53" s="230"/>
      <c r="Z53" s="230"/>
      <c r="AA53" s="230"/>
      <c r="AB53" s="230"/>
      <c r="AC53" s="230"/>
      <c r="AD53" s="230"/>
      <c r="AE53" s="230"/>
      <c r="AF53" s="230"/>
    </row>
    <row r="54" spans="1:32">
      <c r="A54" s="98"/>
      <c r="B54" s="38"/>
      <c r="C54" s="107"/>
      <c r="D54" s="38"/>
      <c r="E54" s="524"/>
      <c r="F54" s="854" t="s">
        <v>921</v>
      </c>
      <c r="G54" s="854" t="s">
        <v>921</v>
      </c>
      <c r="H54" s="854" t="s">
        <v>921</v>
      </c>
      <c r="I54" s="523" t="str">
        <f t="shared" si="4"/>
        <v/>
      </c>
      <c r="J54" s="523" t="str">
        <f t="shared" si="5"/>
        <v/>
      </c>
      <c r="K54" s="523" t="str">
        <f t="shared" si="6"/>
        <v/>
      </c>
      <c r="L54" s="523" t="str">
        <f t="shared" si="3"/>
        <v/>
      </c>
      <c r="M54" s="548" t="str">
        <f t="shared" si="0"/>
        <v/>
      </c>
      <c r="N54" s="548" t="str">
        <f t="shared" si="1"/>
        <v/>
      </c>
      <c r="O54" s="230"/>
      <c r="P54" s="230"/>
      <c r="Q54" s="230"/>
      <c r="R54" s="230"/>
      <c r="S54" s="230"/>
      <c r="T54" s="230"/>
      <c r="U54" s="230"/>
      <c r="V54" s="230"/>
      <c r="W54" s="230"/>
      <c r="X54" s="230"/>
      <c r="Y54" s="230"/>
      <c r="Z54" s="230"/>
      <c r="AA54" s="230"/>
      <c r="AB54" s="230"/>
      <c r="AC54" s="230"/>
      <c r="AD54" s="230"/>
      <c r="AE54" s="230"/>
      <c r="AF54" s="230"/>
    </row>
    <row r="55" spans="1:32">
      <c r="A55" s="98"/>
      <c r="B55" s="38"/>
      <c r="C55" s="107"/>
      <c r="D55" s="38"/>
      <c r="E55" s="524"/>
      <c r="F55" s="854" t="s">
        <v>921</v>
      </c>
      <c r="G55" s="854" t="s">
        <v>921</v>
      </c>
      <c r="H55" s="854" t="s">
        <v>921</v>
      </c>
      <c r="I55" s="523" t="str">
        <f t="shared" si="4"/>
        <v/>
      </c>
      <c r="J55" s="523" t="str">
        <f t="shared" si="5"/>
        <v/>
      </c>
      <c r="K55" s="523" t="str">
        <f t="shared" si="6"/>
        <v/>
      </c>
      <c r="L55" s="523" t="str">
        <f t="shared" si="3"/>
        <v/>
      </c>
      <c r="M55" s="548" t="str">
        <f t="shared" si="0"/>
        <v/>
      </c>
      <c r="N55" s="548" t="str">
        <f t="shared" si="1"/>
        <v/>
      </c>
      <c r="O55" s="230"/>
      <c r="P55" s="230"/>
      <c r="Q55" s="230"/>
      <c r="R55" s="230"/>
      <c r="S55" s="230"/>
      <c r="T55" s="230"/>
      <c r="U55" s="230"/>
      <c r="V55" s="230"/>
      <c r="W55" s="230"/>
      <c r="X55" s="230"/>
      <c r="Y55" s="230"/>
      <c r="Z55" s="230"/>
      <c r="AA55" s="230"/>
      <c r="AB55" s="230"/>
      <c r="AC55" s="230"/>
      <c r="AD55" s="230"/>
      <c r="AE55" s="230"/>
      <c r="AF55" s="230"/>
    </row>
    <row r="56" spans="1:32">
      <c r="A56" s="98"/>
      <c r="B56" s="38"/>
      <c r="C56" s="107"/>
      <c r="D56" s="38"/>
      <c r="E56" s="524"/>
      <c r="F56" s="854" t="s">
        <v>921</v>
      </c>
      <c r="G56" s="854" t="s">
        <v>921</v>
      </c>
      <c r="H56" s="854" t="s">
        <v>921</v>
      </c>
      <c r="I56" s="523" t="str">
        <f t="shared" si="4"/>
        <v/>
      </c>
      <c r="J56" s="523" t="str">
        <f t="shared" si="5"/>
        <v/>
      </c>
      <c r="K56" s="523" t="str">
        <f t="shared" si="6"/>
        <v/>
      </c>
      <c r="L56" s="523" t="str">
        <f t="shared" si="3"/>
        <v/>
      </c>
      <c r="M56" s="548" t="str">
        <f t="shared" si="0"/>
        <v/>
      </c>
      <c r="N56" s="548" t="str">
        <f t="shared" si="1"/>
        <v/>
      </c>
      <c r="O56" s="230"/>
      <c r="P56" s="230"/>
      <c r="Q56" s="230"/>
      <c r="R56" s="230"/>
      <c r="S56" s="230"/>
      <c r="T56" s="230"/>
      <c r="U56" s="230"/>
      <c r="V56" s="230"/>
      <c r="W56" s="230"/>
      <c r="X56" s="230"/>
      <c r="Y56" s="230"/>
      <c r="Z56" s="230"/>
      <c r="AA56" s="230"/>
      <c r="AB56" s="230"/>
      <c r="AC56" s="230"/>
      <c r="AD56" s="230"/>
      <c r="AE56" s="230"/>
      <c r="AF56" s="230"/>
    </row>
    <row r="57" spans="1:32" ht="13.5" thickBot="1">
      <c r="A57" s="525"/>
      <c r="B57" s="526"/>
      <c r="C57" s="524"/>
      <c r="D57" s="526"/>
      <c r="E57" s="524"/>
      <c r="F57" s="855" t="s">
        <v>921</v>
      </c>
      <c r="G57" s="855" t="s">
        <v>921</v>
      </c>
      <c r="H57" s="855" t="s">
        <v>921</v>
      </c>
      <c r="I57" s="523" t="str">
        <f t="shared" si="4"/>
        <v/>
      </c>
      <c r="J57" s="523" t="str">
        <f t="shared" si="5"/>
        <v/>
      </c>
      <c r="K57" s="523" t="str">
        <f t="shared" si="6"/>
        <v/>
      </c>
      <c r="L57" s="523" t="str">
        <f t="shared" si="3"/>
        <v/>
      </c>
      <c r="M57" s="548" t="str">
        <f t="shared" si="0"/>
        <v/>
      </c>
      <c r="N57" s="548" t="str">
        <f t="shared" si="1"/>
        <v/>
      </c>
      <c r="O57" s="230"/>
      <c r="P57" s="230"/>
      <c r="Q57" s="230"/>
      <c r="R57" s="230"/>
      <c r="S57" s="230"/>
      <c r="T57" s="230"/>
      <c r="U57" s="230"/>
      <c r="V57" s="230"/>
      <c r="W57" s="230"/>
      <c r="X57" s="230"/>
      <c r="Y57" s="230"/>
      <c r="Z57" s="230"/>
      <c r="AA57" s="230"/>
      <c r="AB57" s="230"/>
      <c r="AC57" s="230"/>
      <c r="AD57" s="230"/>
      <c r="AE57" s="230"/>
      <c r="AF57" s="230"/>
    </row>
    <row r="58" spans="1:32" ht="13.5" thickBot="1">
      <c r="A58" s="57" t="s">
        <v>80</v>
      </c>
      <c r="B58" s="58"/>
      <c r="C58" s="58"/>
      <c r="D58" s="58"/>
      <c r="E58" s="783">
        <f>SUM($E$21:$E$57)</f>
        <v>20249</v>
      </c>
      <c r="F58" s="784"/>
      <c r="G58" s="192"/>
      <c r="H58" s="785"/>
      <c r="I58" s="794">
        <f>SUM($I$21:$I$57)</f>
        <v>25378.436181999998</v>
      </c>
      <c r="J58" s="795">
        <f>SUM($J$21:$J$57)</f>
        <v>2.7943620000000005</v>
      </c>
      <c r="K58" s="796">
        <f>SUM($K$21:$K$57)</f>
        <v>0.40498000000000001</v>
      </c>
      <c r="L58" s="797">
        <f>SUM($L$21:$L$57)</f>
        <v>12939.111000000001</v>
      </c>
      <c r="M58" s="797">
        <f>SUM($M$21:$M$57)</f>
        <v>1.295936</v>
      </c>
      <c r="N58" s="798">
        <f>SUM($N$21:$N$57)</f>
        <v>0.18224099999999999</v>
      </c>
      <c r="O58" s="230"/>
      <c r="P58" s="230"/>
      <c r="Q58" s="230"/>
      <c r="R58" s="230"/>
      <c r="S58" s="230"/>
      <c r="T58" s="230"/>
      <c r="U58" s="230"/>
      <c r="V58" s="230"/>
      <c r="W58" s="230"/>
      <c r="X58" s="230"/>
      <c r="Y58" s="230"/>
      <c r="Z58" s="230"/>
      <c r="AA58" s="230"/>
      <c r="AB58" s="230"/>
      <c r="AC58" s="230"/>
      <c r="AD58" s="230"/>
      <c r="AE58" s="230"/>
      <c r="AF58" s="230"/>
    </row>
    <row r="59" spans="1:32">
      <c r="A59" s="10"/>
      <c r="B59" s="10"/>
      <c r="C59" s="10"/>
      <c r="D59" s="10"/>
      <c r="E59" s="230"/>
      <c r="F59" s="230"/>
      <c r="G59" s="230"/>
      <c r="H59" s="230"/>
      <c r="I59" s="10"/>
      <c r="J59" s="10"/>
      <c r="K59" s="230"/>
      <c r="L59" s="10"/>
      <c r="M59" s="10"/>
      <c r="N59" s="230"/>
      <c r="O59" s="230"/>
      <c r="P59" s="230"/>
      <c r="Q59" s="230"/>
      <c r="R59" s="230"/>
      <c r="S59" s="230"/>
      <c r="T59" s="230"/>
      <c r="U59" s="230"/>
      <c r="V59" s="230"/>
      <c r="W59" s="230"/>
      <c r="X59" s="230"/>
      <c r="Y59" s="230"/>
      <c r="Z59" s="230"/>
      <c r="AA59" s="230"/>
      <c r="AB59" s="230"/>
      <c r="AC59" s="230"/>
      <c r="AD59" s="230"/>
      <c r="AE59" s="230"/>
    </row>
    <row r="60" spans="1:32">
      <c r="A60" s="356" t="s">
        <v>377</v>
      </c>
      <c r="B60" s="331"/>
      <c r="C60" s="331"/>
      <c r="D60" s="331"/>
      <c r="E60" s="331"/>
      <c r="F60" s="331"/>
      <c r="G60" s="331"/>
      <c r="H60" s="331"/>
      <c r="I60" s="331"/>
      <c r="J60" s="331"/>
      <c r="K60" s="331"/>
      <c r="L60" s="331"/>
      <c r="M60" s="331"/>
      <c r="N60" s="331"/>
      <c r="O60" s="230"/>
      <c r="P60" s="230"/>
      <c r="Q60" s="230"/>
      <c r="R60" s="230"/>
      <c r="S60" s="230"/>
      <c r="T60" s="230"/>
      <c r="U60" s="230"/>
      <c r="V60" s="230"/>
      <c r="W60" s="230"/>
      <c r="X60" s="230"/>
      <c r="Y60" s="230"/>
      <c r="Z60" s="230"/>
      <c r="AA60" s="230"/>
      <c r="AB60" s="230"/>
      <c r="AC60" s="230"/>
      <c r="AD60" s="230"/>
      <c r="AE60" s="230"/>
    </row>
    <row r="61" spans="1:32" ht="13.5" thickBot="1">
      <c r="B61" s="10"/>
      <c r="C61" s="10"/>
      <c r="D61" s="10"/>
      <c r="E61" s="10"/>
      <c r="F61" s="230"/>
      <c r="G61" s="230"/>
      <c r="H61" s="230"/>
      <c r="I61" s="10"/>
      <c r="J61" s="10"/>
      <c r="K61" s="230"/>
      <c r="L61" s="10"/>
      <c r="M61" s="10"/>
      <c r="N61" s="230"/>
      <c r="O61" s="230"/>
      <c r="P61" s="230"/>
      <c r="Q61" s="230"/>
      <c r="R61" s="230"/>
      <c r="S61" s="230"/>
      <c r="T61" s="230"/>
      <c r="U61" s="230"/>
      <c r="V61" s="230"/>
      <c r="W61" s="230"/>
      <c r="X61" s="230"/>
      <c r="Y61" s="230"/>
      <c r="Z61" s="230"/>
      <c r="AA61" s="230"/>
      <c r="AB61" s="230"/>
      <c r="AC61" s="230"/>
      <c r="AD61" s="230"/>
      <c r="AE61" s="230"/>
    </row>
    <row r="62" spans="1:32" ht="15" customHeight="1" thickBot="1">
      <c r="A62" s="789" t="s">
        <v>924</v>
      </c>
      <c r="B62" s="790"/>
      <c r="C62" s="790"/>
      <c r="D62" s="790"/>
      <c r="E62" s="791"/>
      <c r="F62" s="230"/>
      <c r="G62" s="230"/>
      <c r="H62" s="230"/>
      <c r="I62" s="129"/>
      <c r="J62" s="10"/>
      <c r="K62" s="230"/>
      <c r="L62" s="129"/>
      <c r="M62" s="10"/>
      <c r="N62" s="230"/>
      <c r="O62" s="230"/>
      <c r="P62" s="230"/>
      <c r="Q62" s="230"/>
      <c r="R62" s="230"/>
      <c r="S62" s="230"/>
      <c r="T62" s="230"/>
      <c r="U62" s="230"/>
      <c r="V62" s="230"/>
      <c r="W62" s="230"/>
      <c r="X62" s="230"/>
      <c r="Y62" s="230"/>
      <c r="Z62" s="230"/>
      <c r="AA62" s="230"/>
      <c r="AB62" s="230"/>
      <c r="AC62" s="230"/>
      <c r="AD62" s="230"/>
      <c r="AE62" s="230"/>
    </row>
    <row r="63" spans="1:32" ht="13.5" thickTop="1">
      <c r="A63" s="792" t="s">
        <v>925</v>
      </c>
      <c r="B63" s="787"/>
      <c r="C63" s="787"/>
      <c r="D63" s="787"/>
      <c r="E63" s="800">
        <f>($L$58+$M$58*CH4_GWP+$N$58*N2O_GWP)*kg_per_lb/1000</f>
        <v>5.9085106900848006</v>
      </c>
      <c r="F63" s="230"/>
      <c r="G63" s="230"/>
      <c r="H63" s="230"/>
      <c r="I63" s="682"/>
      <c r="J63" s="10"/>
      <c r="K63" s="230"/>
      <c r="L63" s="682"/>
      <c r="M63" s="10"/>
      <c r="N63" s="230"/>
      <c r="O63" s="230"/>
      <c r="P63" s="230"/>
      <c r="Q63" s="230"/>
      <c r="R63" s="230"/>
      <c r="S63" s="230"/>
      <c r="T63" s="230"/>
      <c r="U63" s="230"/>
      <c r="V63" s="230"/>
      <c r="W63" s="230"/>
      <c r="X63" s="230"/>
      <c r="Y63" s="230"/>
      <c r="Z63" s="230"/>
      <c r="AA63" s="230"/>
      <c r="AB63" s="230"/>
      <c r="AC63" s="230"/>
      <c r="AD63" s="230"/>
      <c r="AE63" s="230"/>
    </row>
    <row r="64" spans="1:32" ht="13.5" thickBot="1">
      <c r="A64" s="793" t="s">
        <v>926</v>
      </c>
      <c r="B64" s="788"/>
      <c r="C64" s="788"/>
      <c r="D64" s="788"/>
      <c r="E64" s="801">
        <f>($I$58+$J$58*CH4_GWP+$K$58*N2O_GWP)*kg_per_lb/1000</f>
        <v>11.598088997779199</v>
      </c>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c r="AE64" s="230"/>
    </row>
    <row r="65" spans="1:31">
      <c r="A65" s="428" t="s">
        <v>138</v>
      </c>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c r="AE65" s="230"/>
    </row>
    <row r="66" spans="1:31">
      <c r="A66" s="428" t="s">
        <v>1375</v>
      </c>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c r="AE66" s="230"/>
    </row>
    <row r="67" spans="1:31">
      <c r="A67" s="816" t="s">
        <v>927</v>
      </c>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c r="AE67" s="230"/>
    </row>
    <row r="68" spans="1:31">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c r="AE68" s="230"/>
    </row>
    <row r="69" spans="1:31">
      <c r="A69" s="230"/>
      <c r="B69" s="232"/>
      <c r="C69" s="233"/>
      <c r="D69" s="233"/>
      <c r="E69" s="233"/>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c r="AE69" s="230"/>
    </row>
    <row r="70" spans="1:31">
      <c r="A70" s="229" t="s">
        <v>1168</v>
      </c>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c r="AE70" s="230"/>
    </row>
    <row r="71" spans="1:31">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c r="AE71" s="230"/>
    </row>
    <row r="72" spans="1:31">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row>
    <row r="73" spans="1:31">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c r="AE73" s="230"/>
    </row>
    <row r="74" spans="1:31">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c r="AE74" s="230"/>
    </row>
    <row r="75" spans="1:31">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c r="AE75" s="230"/>
    </row>
    <row r="76" spans="1:31">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c r="AE76" s="230"/>
    </row>
    <row r="77" spans="1:31">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c r="AE77" s="230"/>
    </row>
    <row r="78" spans="1:31">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c r="AE78" s="230"/>
    </row>
    <row r="79" spans="1:31">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c r="AE79" s="230"/>
    </row>
    <row r="80" spans="1:31">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row>
    <row r="81" spans="1:31">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c r="AE81" s="230"/>
    </row>
    <row r="82" spans="1:31">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c r="AE82" s="230"/>
    </row>
    <row r="83" spans="1:31">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c r="AE83" s="230"/>
    </row>
    <row r="84" spans="1:31">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c r="AE84" s="230"/>
    </row>
    <row r="85" spans="1:31">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c r="AE85" s="230"/>
    </row>
    <row r="86" spans="1:31">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c r="AE86" s="230"/>
    </row>
    <row r="87" spans="1:31">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c r="AE87" s="230"/>
    </row>
    <row r="88" spans="1:31">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row>
    <row r="89" spans="1:31">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row>
    <row r="90" spans="1:31">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c r="AE90" s="230"/>
    </row>
    <row r="91" spans="1:31">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c r="AE91" s="230"/>
    </row>
    <row r="92" spans="1:31">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c r="AE92" s="230"/>
    </row>
    <row r="93" spans="1:31">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c r="AE93" s="230"/>
    </row>
    <row r="94" spans="1:31">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c r="AE94" s="230"/>
    </row>
    <row r="95" spans="1:31">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c r="AE95" s="230"/>
    </row>
    <row r="96" spans="1:31">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c r="AE96" s="230"/>
    </row>
    <row r="97" spans="1:31">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c r="AE97" s="230"/>
    </row>
    <row r="98" spans="1:31">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c r="AE98" s="230"/>
    </row>
    <row r="99" spans="1:31">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c r="AE99" s="230"/>
    </row>
    <row r="100" spans="1:31">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c r="AE100" s="230"/>
    </row>
    <row r="101" spans="1:31">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c r="AE101" s="230"/>
    </row>
    <row r="102" spans="1:31">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c r="AE102" s="230"/>
    </row>
    <row r="103" spans="1:31">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c r="AE103" s="230"/>
    </row>
    <row r="104" spans="1:31">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c r="AE104" s="230"/>
    </row>
    <row r="105" spans="1:31">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c r="AE105" s="230"/>
    </row>
    <row r="106" spans="1:31">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row>
    <row r="107" spans="1:31">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c r="AE107" s="230"/>
    </row>
    <row r="108" spans="1:31">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c r="AE108" s="230"/>
    </row>
    <row r="109" spans="1:31">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c r="AE109" s="230"/>
    </row>
    <row r="110" spans="1:31">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c r="AE110" s="230"/>
    </row>
    <row r="111" spans="1:31">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c r="AE111" s="230"/>
    </row>
    <row r="112" spans="1:31">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c r="AE112" s="230"/>
    </row>
    <row r="113" spans="1:31">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c r="AE113" s="230"/>
    </row>
    <row r="114" spans="1:31">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c r="AE114" s="230"/>
    </row>
    <row r="115" spans="1:31">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c r="AE115" s="230"/>
    </row>
    <row r="116" spans="1:31">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c r="AE116" s="230"/>
    </row>
    <row r="117" spans="1:31">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c r="AE117" s="230"/>
    </row>
    <row r="118" spans="1:31">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c r="AE118" s="230"/>
    </row>
    <row r="119" spans="1:31">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c r="AE119" s="230"/>
    </row>
    <row r="120" spans="1:31">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c r="AE120" s="230"/>
    </row>
    <row r="121" spans="1:31">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c r="AE121" s="230"/>
    </row>
    <row r="122" spans="1:31">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c r="AE122" s="230"/>
    </row>
    <row r="123" spans="1:31">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row>
    <row r="124" spans="1:31">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c r="AE124" s="230"/>
    </row>
    <row r="125" spans="1:31">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c r="AE125" s="230"/>
    </row>
    <row r="126" spans="1:31">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c r="AE126" s="230"/>
    </row>
    <row r="127" spans="1:31">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c r="AE127" s="230"/>
    </row>
    <row r="128" spans="1:31">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c r="AE128" s="230"/>
    </row>
    <row r="129" spans="1:31">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c r="AE129" s="230"/>
    </row>
    <row r="130" spans="1:31">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c r="AE130" s="230"/>
    </row>
    <row r="131" spans="1:31">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c r="AE131" s="230"/>
    </row>
    <row r="132" spans="1:31">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c r="AE132" s="230"/>
    </row>
    <row r="133" spans="1:31">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c r="AE133" s="230"/>
    </row>
    <row r="134" spans="1:31">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c r="AE134" s="230"/>
    </row>
    <row r="135" spans="1:31">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c r="AE135" s="230"/>
    </row>
    <row r="136" spans="1:31">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c r="AE136" s="230"/>
    </row>
    <row r="137" spans="1:31">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c r="AE137" s="230"/>
    </row>
    <row r="138" spans="1:31">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c r="AE138" s="230"/>
    </row>
    <row r="139" spans="1:31">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c r="AE139" s="230"/>
    </row>
    <row r="140" spans="1:31">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row>
    <row r="141" spans="1:31">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c r="AE141" s="230"/>
    </row>
    <row r="142" spans="1:31">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c r="AE142" s="230"/>
    </row>
    <row r="143" spans="1:31">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c r="AE143" s="230"/>
    </row>
    <row r="144" spans="1:31">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c r="AE144" s="230"/>
    </row>
    <row r="145" spans="1:31">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c r="AE145" s="230"/>
    </row>
    <row r="146" spans="1:31">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c r="AE146" s="230"/>
    </row>
    <row r="147" spans="1:31">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c r="AE147" s="230"/>
    </row>
    <row r="148" spans="1:31">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c r="AE148" s="230"/>
    </row>
    <row r="149" spans="1:31">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c r="AE149" s="230"/>
    </row>
    <row r="150" spans="1:31">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c r="AE150" s="230"/>
    </row>
    <row r="151" spans="1:31">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c r="AE151" s="230"/>
    </row>
    <row r="152" spans="1:31">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c r="AE152" s="230"/>
    </row>
    <row r="153" spans="1:31">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c r="AE153" s="230"/>
    </row>
    <row r="154" spans="1:31">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c r="AE154" s="230"/>
    </row>
    <row r="155" spans="1:31">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c r="AE155" s="230"/>
    </row>
    <row r="156" spans="1:31">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c r="AE156" s="230"/>
    </row>
    <row r="157" spans="1:31">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row>
    <row r="158" spans="1:31">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c r="AE158" s="230"/>
    </row>
    <row r="159" spans="1:31">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c r="AE159" s="230"/>
    </row>
    <row r="160" spans="1:31">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c r="AE160" s="230"/>
    </row>
    <row r="161" spans="1:31">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c r="AE161" s="230"/>
    </row>
    <row r="162" spans="1:31">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c r="AE162" s="230"/>
    </row>
    <row r="163" spans="1:31">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c r="AE163" s="230"/>
    </row>
    <row r="164" spans="1:31">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c r="AE164" s="230"/>
    </row>
    <row r="165" spans="1:31">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c r="AE165" s="230"/>
    </row>
    <row r="166" spans="1:31">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c r="AE166" s="230"/>
    </row>
    <row r="167" spans="1:31">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c r="AE167" s="230"/>
    </row>
    <row r="168" spans="1:31">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c r="AE168" s="230"/>
    </row>
    <row r="169" spans="1:31">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c r="AE169" s="230"/>
    </row>
    <row r="170" spans="1:31">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c r="AE170" s="230"/>
    </row>
    <row r="171" spans="1:31">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c r="AE171" s="230"/>
    </row>
    <row r="172" spans="1:31">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c r="AE172" s="230"/>
    </row>
    <row r="173" spans="1:31">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c r="AE173" s="230"/>
    </row>
    <row r="174" spans="1:31">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row>
    <row r="175" spans="1:31">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c r="AE175" s="230"/>
    </row>
    <row r="176" spans="1:31">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c r="AE176" s="230"/>
    </row>
    <row r="177" spans="1:31">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c r="AE177" s="230"/>
    </row>
    <row r="178" spans="1:31">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c r="AE178" s="230"/>
    </row>
    <row r="179" spans="1:31">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c r="AE179" s="230"/>
    </row>
    <row r="180" spans="1:31">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c r="AE180" s="230"/>
    </row>
    <row r="181" spans="1:31">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c r="AE181" s="230"/>
    </row>
    <row r="182" spans="1:31">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c r="AE182" s="230"/>
    </row>
    <row r="183" spans="1:31">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c r="AE183" s="230"/>
    </row>
    <row r="184" spans="1:31">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c r="AE184" s="230"/>
    </row>
    <row r="185" spans="1:31">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c r="AE185" s="230"/>
    </row>
    <row r="186" spans="1:31">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c r="AE186" s="230"/>
    </row>
    <row r="187" spans="1:31">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c r="AE187" s="230"/>
    </row>
    <row r="188" spans="1:31">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c r="AE188" s="230"/>
    </row>
    <row r="189" spans="1:31">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c r="AE189" s="230"/>
    </row>
    <row r="190" spans="1:31">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c r="AE190" s="230"/>
    </row>
    <row r="191" spans="1:31">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row>
    <row r="192" spans="1:31">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c r="AE192" s="230"/>
    </row>
    <row r="193" spans="1:31">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c r="AE193" s="230"/>
    </row>
    <row r="194" spans="1:31">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c r="AE194" s="230"/>
    </row>
    <row r="195" spans="1:31">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c r="AE195" s="230"/>
    </row>
    <row r="196" spans="1:31">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c r="AE196" s="230"/>
    </row>
    <row r="197" spans="1:31">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c r="AE197" s="230"/>
    </row>
    <row r="198" spans="1:31">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c r="AE198" s="230"/>
    </row>
    <row r="199" spans="1:31">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c r="AE199" s="230"/>
    </row>
    <row r="200" spans="1:31">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c r="AE200" s="230"/>
    </row>
    <row r="201" spans="1:31">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c r="AE201" s="230"/>
    </row>
    <row r="202" spans="1:31">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c r="AE202" s="230"/>
    </row>
    <row r="203" spans="1:31">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c r="AE203" s="230"/>
    </row>
  </sheetData>
  <sheetProtection sheet="1" objects="1" scenarios="1"/>
  <mergeCells count="11">
    <mergeCell ref="A12:G12"/>
    <mergeCell ref="A6:G6"/>
    <mergeCell ref="B10:G10"/>
    <mergeCell ref="A7:G7"/>
    <mergeCell ref="A8:G8"/>
    <mergeCell ref="A15:E15"/>
    <mergeCell ref="L15:N15"/>
    <mergeCell ref="F16:H16"/>
    <mergeCell ref="I16:K16"/>
    <mergeCell ref="L16:N16"/>
    <mergeCell ref="F15:K15"/>
  </mergeCells>
  <phoneticPr fontId="12" type="noConversion"/>
  <dataValidations count="1">
    <dataValidation type="list" allowBlank="1" showInputMessage="1" showErrorMessage="1" sqref="D20:D57" xr:uid="{00000000-0002-0000-0900-000000000000}">
      <formula1>eGRID_Subregions</formula1>
    </dataValidation>
  </dataValidations>
  <hyperlinks>
    <hyperlink ref="B11" r:id="rId1" xr:uid="{00000000-0004-0000-0900-000000000000}"/>
  </hyperlinks>
  <pageMargins left="0.25" right="0.25" top="0.25" bottom="0.5" header="0.5" footer="0.25"/>
  <pageSetup scale="82" orientation="portrait" r:id="rId2"/>
  <headerFooter alignWithMargins="0">
    <oddFooter>&amp;L&amp;"Arial,Italic"&amp;9EPA Climate Leaders Simplified GHG Emissions Calculator (Indirect 1.0)&amp;R&amp;"Arial,Italic"&amp;9&amp;P of &amp;N</oddFooter>
  </headerFooter>
  <rowBreaks count="1" manualBreakCount="1">
    <brk id="58" max="16383" man="1"/>
  </rowBreaks>
  <colBreaks count="1" manualBreakCount="1">
    <brk id="8" max="1048575" man="1"/>
  </colBreaks>
  <drawing r:id="rId3"/>
  <legacyDrawing r:id="rId4"/>
  <controls>
    <mc:AlternateContent xmlns:mc="http://schemas.openxmlformats.org/markup-compatibility/2006">
      <mc:Choice Requires="x14">
        <control shapeId="16514" r:id="rId5" name="CommandButton1">
          <controlPr autoLine="0" r:id="rId6">
            <anchor>
              <from>
                <xdr:col>1</xdr:col>
                <xdr:colOff>66675</xdr:colOff>
                <xdr:row>0</xdr:row>
                <xdr:rowOff>142875</xdr:rowOff>
              </from>
              <to>
                <xdr:col>1</xdr:col>
                <xdr:colOff>981075</xdr:colOff>
                <xdr:row>1</xdr:row>
                <xdr:rowOff>142875</xdr:rowOff>
              </to>
            </anchor>
          </controlPr>
        </control>
      </mc:Choice>
      <mc:Fallback>
        <control shapeId="16514" r:id="rId5" name="CommandButton1"/>
      </mc:Fallback>
    </mc:AlternateContent>
    <mc:AlternateContent xmlns:mc="http://schemas.openxmlformats.org/markup-compatibility/2006">
      <mc:Choice Requires="x14">
        <control shapeId="16515" r:id="rId7" name="CommandButton2">
          <controlPr autoLine="0" r:id="rId8">
            <anchor>
              <from>
                <xdr:col>2</xdr:col>
                <xdr:colOff>66675</xdr:colOff>
                <xdr:row>0</xdr:row>
                <xdr:rowOff>133350</xdr:rowOff>
              </from>
              <to>
                <xdr:col>3</xdr:col>
                <xdr:colOff>523875</xdr:colOff>
                <xdr:row>1</xdr:row>
                <xdr:rowOff>133350</xdr:rowOff>
              </to>
            </anchor>
          </controlPr>
        </control>
      </mc:Choice>
      <mc:Fallback>
        <control shapeId="16515" r:id="rId7" name="CommandButton2"/>
      </mc:Fallback>
    </mc:AlternateContent>
    <mc:AlternateContent xmlns:mc="http://schemas.openxmlformats.org/markup-compatibility/2006">
      <mc:Choice Requires="x14">
        <control shapeId="16712" r:id="rId9" name="CommandButton3">
          <controlPr autoLine="0" r:id="rId10">
            <anchor moveWithCells="1">
              <from>
                <xdr:col>4</xdr:col>
                <xdr:colOff>295275</xdr:colOff>
                <xdr:row>0</xdr:row>
                <xdr:rowOff>142875</xdr:rowOff>
              </from>
              <to>
                <xdr:col>5</xdr:col>
                <xdr:colOff>342900</xdr:colOff>
                <xdr:row>1</xdr:row>
                <xdr:rowOff>133350</xdr:rowOff>
              </to>
            </anchor>
          </controlPr>
        </control>
      </mc:Choice>
      <mc:Fallback>
        <control shapeId="16712" r:id="rId9" name="CommandButton3"/>
      </mc:Fallback>
    </mc:AlternateContent>
    <mc:AlternateContent xmlns:mc="http://schemas.openxmlformats.org/markup-compatibility/2006">
      <mc:Choice Requires="x14">
        <control shapeId="51809" r:id="rId11" name="CommandButton4">
          <controlPr autoLine="0" r:id="rId12">
            <anchor moveWithCells="1">
              <from>
                <xdr:col>6</xdr:col>
                <xdr:colOff>742950</xdr:colOff>
                <xdr:row>11</xdr:row>
                <xdr:rowOff>314325</xdr:rowOff>
              </from>
              <to>
                <xdr:col>8</xdr:col>
                <xdr:colOff>1209675</xdr:colOff>
                <xdr:row>11</xdr:row>
                <xdr:rowOff>628650</xdr:rowOff>
              </to>
            </anchor>
          </controlPr>
        </control>
      </mc:Choice>
      <mc:Fallback>
        <control shapeId="51809" r:id="rId11" name="CommandButton4"/>
      </mc:Fallback>
    </mc:AlternateContent>
    <mc:AlternateContent xmlns:mc="http://schemas.openxmlformats.org/markup-compatibility/2006">
      <mc:Choice Requires="x14">
        <control shapeId="51833" r:id="rId13" name="CommandButton5">
          <controlPr autoLine="0" r:id="rId14">
            <anchor moveWithCells="1">
              <from>
                <xdr:col>5</xdr:col>
                <xdr:colOff>466725</xdr:colOff>
                <xdr:row>0</xdr:row>
                <xdr:rowOff>142875</xdr:rowOff>
              </from>
              <to>
                <xdr:col>7</xdr:col>
                <xdr:colOff>828675</xdr:colOff>
                <xdr:row>1</xdr:row>
                <xdr:rowOff>133350</xdr:rowOff>
              </to>
            </anchor>
          </controlPr>
        </control>
      </mc:Choice>
      <mc:Fallback>
        <control shapeId="51833" r:id="rId13" name="CommandButton5"/>
      </mc:Fallback>
    </mc:AlternateContent>
  </control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dimension ref="A1:AB197"/>
  <sheetViews>
    <sheetView zoomScaleNormal="100" workbookViewId="0">
      <pane ySplit="4" topLeftCell="A17" activePane="bottomLeft" state="frozen"/>
      <selection pane="bottomLeft" activeCell="E72" sqref="E72"/>
    </sheetView>
  </sheetViews>
  <sheetFormatPr defaultRowHeight="12.75"/>
  <cols>
    <col min="1" max="1" width="10" customWidth="1"/>
    <col min="2" max="3" width="16.7109375" customWidth="1"/>
    <col min="4" max="4" width="21.85546875" customWidth="1"/>
    <col min="5" max="5" width="12.7109375" customWidth="1"/>
    <col min="6" max="6" width="13.140625" customWidth="1"/>
    <col min="7" max="9" width="12.28515625" customWidth="1"/>
    <col min="10" max="12" width="16" customWidth="1"/>
  </cols>
  <sheetData>
    <row r="1" spans="1:27"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row>
    <row r="2" spans="1:27"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row>
    <row r="3" spans="1:27" ht="15">
      <c r="A3" s="11" t="s">
        <v>917</v>
      </c>
      <c r="B3" s="10"/>
      <c r="C3" s="10"/>
      <c r="D3" s="10"/>
      <c r="E3" s="10"/>
      <c r="F3" s="10"/>
      <c r="G3" s="10"/>
      <c r="H3" s="10"/>
      <c r="I3" s="230"/>
      <c r="J3" s="230"/>
      <c r="K3" s="230"/>
      <c r="L3" s="230"/>
      <c r="M3" s="230"/>
      <c r="N3" s="230"/>
      <c r="O3" s="230"/>
      <c r="P3" s="230"/>
      <c r="Q3" s="230"/>
      <c r="R3" s="230"/>
      <c r="S3" s="230"/>
      <c r="T3" s="230"/>
      <c r="U3" s="230"/>
      <c r="V3" s="230"/>
      <c r="W3" s="230"/>
      <c r="X3" s="230"/>
      <c r="Y3" s="230"/>
      <c r="Z3" s="230"/>
      <c r="AA3" s="230"/>
    </row>
    <row r="4" spans="1:27">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row>
    <row r="5" spans="1:27">
      <c r="A5" s="229" t="s">
        <v>346</v>
      </c>
      <c r="B5" s="230"/>
      <c r="C5" s="230"/>
      <c r="D5" s="230"/>
      <c r="E5" s="230"/>
      <c r="F5" s="230"/>
      <c r="G5" s="230"/>
      <c r="H5" s="230"/>
      <c r="I5" s="230"/>
      <c r="J5" s="233"/>
      <c r="K5" s="233"/>
      <c r="L5" s="230"/>
      <c r="M5" s="230"/>
      <c r="N5" s="230"/>
      <c r="O5" s="230"/>
      <c r="P5" s="230"/>
      <c r="Q5" s="230"/>
      <c r="R5" s="230"/>
      <c r="S5" s="230"/>
      <c r="T5" s="230"/>
      <c r="U5" s="230"/>
      <c r="V5" s="230"/>
      <c r="W5" s="230"/>
      <c r="X5" s="230"/>
      <c r="Y5" s="230"/>
      <c r="Z5" s="230"/>
      <c r="AA5" s="230"/>
    </row>
    <row r="6" spans="1:27">
      <c r="A6" s="605" t="s">
        <v>956</v>
      </c>
      <c r="B6" s="230"/>
      <c r="C6" s="230"/>
      <c r="D6" s="230"/>
      <c r="E6" s="230"/>
      <c r="F6" s="230"/>
      <c r="G6" s="230"/>
      <c r="H6" s="230"/>
      <c r="I6" s="230"/>
      <c r="J6" s="233"/>
      <c r="K6" s="233"/>
      <c r="L6" s="230"/>
      <c r="M6" s="230"/>
      <c r="N6" s="230"/>
      <c r="O6" s="230"/>
      <c r="P6" s="230"/>
      <c r="Q6" s="230"/>
      <c r="R6" s="230"/>
      <c r="S6" s="230"/>
      <c r="T6" s="230"/>
      <c r="U6" s="230"/>
      <c r="V6" s="230"/>
      <c r="W6" s="230"/>
      <c r="X6" s="230"/>
      <c r="Y6" s="230"/>
      <c r="Z6" s="230"/>
      <c r="AA6" s="230"/>
    </row>
    <row r="7" spans="1:27">
      <c r="A7" s="588" t="s">
        <v>1108</v>
      </c>
      <c r="B7" s="257"/>
      <c r="C7" s="230"/>
      <c r="D7" s="230"/>
      <c r="E7" s="230"/>
      <c r="F7" s="230"/>
      <c r="G7" s="230"/>
      <c r="H7" s="230"/>
      <c r="I7" s="230"/>
      <c r="J7" s="230"/>
      <c r="K7" s="230"/>
      <c r="L7" s="230"/>
      <c r="M7" s="230"/>
      <c r="N7" s="230"/>
      <c r="O7" s="230"/>
      <c r="P7" s="230"/>
      <c r="Q7" s="230"/>
      <c r="R7" s="230"/>
      <c r="S7" s="230"/>
      <c r="T7" s="230"/>
      <c r="U7" s="230"/>
      <c r="V7" s="230"/>
      <c r="W7" s="230"/>
      <c r="X7" s="230"/>
      <c r="Y7" s="230"/>
      <c r="Z7" s="230"/>
      <c r="AA7" s="230"/>
    </row>
    <row r="8" spans="1:27">
      <c r="A8" s="588" t="s">
        <v>1106</v>
      </c>
      <c r="B8" s="257"/>
      <c r="C8" s="230"/>
      <c r="D8" s="230"/>
      <c r="E8" s="230"/>
      <c r="F8" s="230"/>
      <c r="G8" s="230"/>
      <c r="H8" s="230"/>
      <c r="I8" s="230"/>
      <c r="J8" s="230"/>
      <c r="K8" s="230"/>
      <c r="L8" s="230"/>
      <c r="M8" s="230"/>
      <c r="N8" s="230"/>
      <c r="O8" s="230"/>
      <c r="P8" s="230"/>
      <c r="Q8" s="230"/>
      <c r="R8" s="230"/>
      <c r="S8" s="230"/>
      <c r="T8" s="230"/>
      <c r="U8" s="230"/>
      <c r="V8" s="230"/>
      <c r="W8" s="230"/>
      <c r="X8" s="230"/>
      <c r="Y8" s="230"/>
      <c r="Z8" s="230"/>
      <c r="AA8" s="230"/>
    </row>
    <row r="9" spans="1:27">
      <c r="A9" s="589" t="s">
        <v>362</v>
      </c>
      <c r="B9" s="257"/>
      <c r="C9" s="230"/>
      <c r="D9" s="230"/>
      <c r="E9" s="230"/>
      <c r="F9" s="230"/>
      <c r="G9" s="230"/>
      <c r="H9" s="230"/>
      <c r="I9" s="230"/>
      <c r="J9" s="230"/>
      <c r="K9" s="230"/>
      <c r="L9" s="230"/>
      <c r="M9" s="230"/>
      <c r="N9" s="230"/>
      <c r="O9" s="230"/>
      <c r="P9" s="230"/>
      <c r="Q9" s="230"/>
      <c r="R9" s="230"/>
      <c r="S9" s="230"/>
      <c r="T9" s="230"/>
      <c r="U9" s="230"/>
      <c r="V9" s="230"/>
      <c r="W9" s="230"/>
      <c r="X9" s="230"/>
      <c r="Y9" s="230"/>
      <c r="Z9" s="230"/>
      <c r="AA9" s="230"/>
    </row>
    <row r="10" spans="1:27">
      <c r="A10" s="589" t="s">
        <v>1107</v>
      </c>
      <c r="B10" s="257"/>
      <c r="C10" s="230"/>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row>
    <row r="11" spans="1:27" ht="25.5" customHeight="1">
      <c r="A11" s="1196" t="s">
        <v>1110</v>
      </c>
      <c r="B11" s="1196"/>
      <c r="C11" s="1196"/>
      <c r="D11" s="1196"/>
      <c r="E11" s="1196"/>
      <c r="F11" s="1196"/>
      <c r="G11" s="1196"/>
      <c r="H11" s="1196"/>
      <c r="I11" s="230"/>
      <c r="J11" s="230"/>
      <c r="K11" s="230"/>
      <c r="L11" s="230"/>
      <c r="M11" s="230"/>
      <c r="N11" s="230"/>
      <c r="O11" s="230"/>
      <c r="P11" s="230"/>
      <c r="Q11" s="230"/>
      <c r="R11" s="230"/>
      <c r="S11" s="230"/>
      <c r="T11" s="230"/>
      <c r="U11" s="230"/>
      <c r="V11" s="230"/>
      <c r="W11" s="230"/>
      <c r="X11" s="230"/>
      <c r="Y11" s="230"/>
      <c r="Z11" s="230"/>
    </row>
    <row r="12" spans="1:27">
      <c r="A12" s="336" t="s">
        <v>770</v>
      </c>
      <c r="B12" s="230"/>
      <c r="C12" s="23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row>
    <row r="13" spans="1:27" ht="15.75">
      <c r="A13" s="257" t="s">
        <v>832</v>
      </c>
      <c r="B13" s="257"/>
      <c r="C13" s="23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row>
    <row r="14" spans="1:27">
      <c r="A14" s="589" t="s">
        <v>751</v>
      </c>
      <c r="B14" s="257"/>
      <c r="C14" s="23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row>
    <row r="15" spans="1:27">
      <c r="A15" s="589" t="s">
        <v>752</v>
      </c>
      <c r="B15" s="257"/>
      <c r="C15" s="23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row>
    <row r="16" spans="1:27" ht="39" customHeight="1">
      <c r="A16" s="230"/>
      <c r="B16" s="1196" t="s">
        <v>1117</v>
      </c>
      <c r="C16" s="1196"/>
      <c r="D16" s="1196"/>
      <c r="E16" s="1196"/>
      <c r="F16" s="1196"/>
      <c r="G16" s="1196"/>
      <c r="H16" s="1196"/>
      <c r="I16" s="1196"/>
      <c r="J16" s="230"/>
      <c r="K16" s="230"/>
      <c r="L16" s="230"/>
      <c r="M16" s="230"/>
      <c r="N16" s="230"/>
      <c r="O16" s="230"/>
      <c r="P16" s="230"/>
      <c r="Q16" s="230"/>
      <c r="R16" s="230"/>
      <c r="S16" s="230"/>
      <c r="T16" s="230"/>
      <c r="U16" s="230"/>
      <c r="V16" s="230"/>
      <c r="W16" s="230"/>
      <c r="X16" s="230"/>
      <c r="Y16" s="230"/>
      <c r="Z16" s="230"/>
    </row>
    <row r="17" spans="1:28">
      <c r="A17" s="336" t="s">
        <v>771</v>
      </c>
      <c r="B17" s="257"/>
      <c r="C17" s="23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row>
    <row r="18" spans="1:28">
      <c r="A18" s="257" t="s">
        <v>1112</v>
      </c>
      <c r="B18" s="590"/>
      <c r="C18" s="23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row>
    <row r="19" spans="1:28">
      <c r="A19" s="775"/>
      <c r="B19" s="775"/>
      <c r="C19" s="775"/>
      <c r="D19" s="775"/>
      <c r="E19" s="775"/>
      <c r="F19" s="775"/>
      <c r="G19" s="775"/>
      <c r="H19" s="775"/>
      <c r="I19" s="230"/>
      <c r="J19" s="230"/>
      <c r="K19" s="257"/>
      <c r="L19" s="230"/>
      <c r="M19" s="230"/>
      <c r="N19" s="230"/>
      <c r="O19" s="230"/>
      <c r="P19" s="230"/>
      <c r="Q19" s="230"/>
      <c r="R19" s="230"/>
      <c r="S19" s="230"/>
      <c r="T19" s="230"/>
      <c r="U19" s="230"/>
      <c r="V19" s="230"/>
      <c r="W19" s="230"/>
      <c r="X19" s="230"/>
      <c r="Y19" s="230"/>
      <c r="Z19" s="230"/>
      <c r="AA19" s="230"/>
    </row>
    <row r="20" spans="1:28" ht="37.5" customHeight="1">
      <c r="A20" s="337"/>
      <c r="B20" s="230"/>
      <c r="C20" s="230"/>
      <c r="D20" s="230"/>
      <c r="E20" s="230"/>
      <c r="F20" s="230"/>
      <c r="G20" s="1255" t="s">
        <v>950</v>
      </c>
      <c r="H20" s="1247"/>
      <c r="I20" s="1247"/>
      <c r="J20" s="1249" t="s">
        <v>1109</v>
      </c>
      <c r="K20" s="1244"/>
      <c r="L20" s="1245"/>
      <c r="M20" s="230"/>
      <c r="N20" s="230"/>
      <c r="O20" s="230"/>
      <c r="P20" s="230"/>
      <c r="Q20" s="230"/>
      <c r="R20" s="230"/>
      <c r="S20" s="230"/>
      <c r="T20" s="230"/>
      <c r="U20" s="230"/>
      <c r="V20" s="230"/>
      <c r="W20" s="230"/>
      <c r="X20" s="230"/>
      <c r="Y20" s="230"/>
      <c r="Z20" s="230"/>
      <c r="AA20" s="230"/>
    </row>
    <row r="21" spans="1:28" ht="13.5" thickBot="1">
      <c r="A21" s="13" t="s">
        <v>79</v>
      </c>
      <c r="B21" s="16"/>
      <c r="C21" s="10"/>
      <c r="D21" s="10"/>
      <c r="E21" s="10"/>
      <c r="F21" s="10"/>
      <c r="G21" s="1246" t="s">
        <v>184</v>
      </c>
      <c r="H21" s="1247"/>
      <c r="I21" s="1248"/>
      <c r="J21" s="1243" t="s">
        <v>919</v>
      </c>
      <c r="K21" s="1244"/>
      <c r="L21" s="1245"/>
      <c r="M21" s="230"/>
      <c r="N21" s="230"/>
      <c r="O21" s="230"/>
      <c r="P21" s="230"/>
      <c r="Q21" s="230"/>
      <c r="R21" s="230"/>
      <c r="S21" s="230"/>
      <c r="T21" s="230"/>
      <c r="U21" s="230"/>
      <c r="V21" s="230"/>
      <c r="W21" s="230"/>
      <c r="X21" s="230"/>
      <c r="Y21" s="230"/>
      <c r="Z21" s="230"/>
      <c r="AA21" s="230"/>
    </row>
    <row r="22" spans="1:28" ht="14.25">
      <c r="A22" s="1254" t="s">
        <v>762</v>
      </c>
      <c r="B22" s="1237" t="s">
        <v>763</v>
      </c>
      <c r="C22" s="1237" t="s">
        <v>781</v>
      </c>
      <c r="D22" s="1223" t="s">
        <v>171</v>
      </c>
      <c r="E22" s="21" t="s">
        <v>78</v>
      </c>
      <c r="F22" s="21" t="s">
        <v>75</v>
      </c>
      <c r="G22" s="21" t="s">
        <v>181</v>
      </c>
      <c r="H22" s="21" t="s">
        <v>182</v>
      </c>
      <c r="I22" s="22" t="s">
        <v>183</v>
      </c>
      <c r="J22" s="21" t="s">
        <v>181</v>
      </c>
      <c r="K22" s="21" t="s">
        <v>182</v>
      </c>
      <c r="L22" s="22" t="s">
        <v>183</v>
      </c>
      <c r="M22" s="230"/>
      <c r="N22" s="230"/>
      <c r="O22" s="230"/>
      <c r="P22" s="230"/>
      <c r="Q22" s="230"/>
      <c r="R22" s="230"/>
      <c r="S22" s="230"/>
      <c r="T22" s="230"/>
      <c r="U22" s="230"/>
      <c r="V22" s="230"/>
      <c r="W22" s="230"/>
      <c r="X22" s="230"/>
      <c r="Y22" s="230"/>
      <c r="Z22" s="230"/>
      <c r="AA22" s="230"/>
      <c r="AB22" s="230"/>
    </row>
    <row r="23" spans="1:28">
      <c r="A23" s="1234"/>
      <c r="B23" s="1236"/>
      <c r="C23" s="1236"/>
      <c r="D23" s="1236"/>
      <c r="E23" s="28" t="s">
        <v>782</v>
      </c>
      <c r="F23" s="28" t="s">
        <v>74</v>
      </c>
      <c r="G23" s="28" t="s">
        <v>76</v>
      </c>
      <c r="H23" s="28" t="s">
        <v>76</v>
      </c>
      <c r="I23" s="29" t="s">
        <v>76</v>
      </c>
      <c r="J23" s="28" t="s">
        <v>76</v>
      </c>
      <c r="K23" s="28" t="s">
        <v>76</v>
      </c>
      <c r="L23" s="29" t="s">
        <v>76</v>
      </c>
      <c r="M23" s="230"/>
      <c r="N23" s="230"/>
      <c r="O23" s="230"/>
      <c r="P23" s="230"/>
      <c r="Q23" s="230"/>
      <c r="R23" s="230"/>
      <c r="S23" s="230"/>
      <c r="T23" s="230"/>
      <c r="U23" s="230"/>
      <c r="V23" s="230"/>
      <c r="W23" s="230"/>
      <c r="X23" s="230"/>
      <c r="Y23" s="230"/>
      <c r="Z23" s="230"/>
      <c r="AA23" s="230"/>
      <c r="AB23" s="230"/>
    </row>
    <row r="24" spans="1:28" ht="13.5" thickBot="1">
      <c r="A24" s="1235"/>
      <c r="B24" s="1224"/>
      <c r="C24" s="1224"/>
      <c r="D24" s="1224"/>
      <c r="E24" s="24" t="s">
        <v>197</v>
      </c>
      <c r="F24" s="24" t="s">
        <v>77</v>
      </c>
      <c r="G24" s="24" t="s">
        <v>953</v>
      </c>
      <c r="H24" s="24" t="s">
        <v>954</v>
      </c>
      <c r="I24" s="25" t="s">
        <v>954</v>
      </c>
      <c r="J24" s="24" t="s">
        <v>953</v>
      </c>
      <c r="K24" s="24" t="s">
        <v>954</v>
      </c>
      <c r="L24" s="25" t="s">
        <v>954</v>
      </c>
      <c r="M24" s="230"/>
      <c r="N24" s="230"/>
      <c r="O24" s="230"/>
      <c r="P24" s="230"/>
      <c r="Q24" s="230"/>
      <c r="R24" s="230"/>
      <c r="S24" s="230"/>
      <c r="T24" s="230"/>
      <c r="U24" s="230"/>
      <c r="V24" s="230"/>
      <c r="W24" s="230"/>
      <c r="X24" s="230"/>
      <c r="Y24" s="230"/>
      <c r="Z24" s="230"/>
      <c r="AA24" s="230"/>
      <c r="AB24" s="230"/>
    </row>
    <row r="25" spans="1:28">
      <c r="A25" s="653" t="s">
        <v>299</v>
      </c>
      <c r="B25" s="654" t="s">
        <v>300</v>
      </c>
      <c r="C25" s="656">
        <v>5000</v>
      </c>
      <c r="D25" s="654" t="s">
        <v>176</v>
      </c>
      <c r="E25" s="655"/>
      <c r="F25" s="656">
        <v>5000</v>
      </c>
      <c r="G25" s="657">
        <v>72</v>
      </c>
      <c r="H25" s="657">
        <v>1.5</v>
      </c>
      <c r="I25" s="658">
        <v>0.6</v>
      </c>
      <c r="J25" s="876" t="s">
        <v>921</v>
      </c>
      <c r="K25" s="876" t="s">
        <v>921</v>
      </c>
      <c r="L25" s="877" t="s">
        <v>921</v>
      </c>
      <c r="M25" s="230"/>
      <c r="N25" s="230"/>
      <c r="O25" s="230"/>
      <c r="P25" s="230"/>
      <c r="Q25" s="230"/>
      <c r="R25" s="230"/>
      <c r="S25" s="230"/>
      <c r="T25" s="230"/>
      <c r="U25" s="230"/>
      <c r="V25" s="230"/>
      <c r="W25" s="230"/>
      <c r="X25" s="230"/>
      <c r="Y25" s="230"/>
      <c r="Z25" s="230"/>
      <c r="AA25" s="230"/>
      <c r="AB25" s="230"/>
    </row>
    <row r="26" spans="1:28">
      <c r="A26" s="338" t="s">
        <v>19</v>
      </c>
      <c r="B26" s="339" t="s">
        <v>241</v>
      </c>
      <c r="C26" s="686">
        <v>2000</v>
      </c>
      <c r="D26" s="339" t="s">
        <v>174</v>
      </c>
      <c r="E26" s="340">
        <v>80</v>
      </c>
      <c r="F26" s="340">
        <v>10000</v>
      </c>
      <c r="G26" s="683"/>
      <c r="H26" s="683"/>
      <c r="I26" s="684"/>
      <c r="J26" s="878" t="s">
        <v>921</v>
      </c>
      <c r="K26" s="878" t="s">
        <v>921</v>
      </c>
      <c r="L26" s="879" t="s">
        <v>921</v>
      </c>
      <c r="M26" s="230"/>
      <c r="N26" s="230"/>
      <c r="O26" s="230"/>
      <c r="P26" s="230"/>
      <c r="Q26" s="230"/>
      <c r="R26" s="230"/>
      <c r="S26" s="230"/>
      <c r="T26" s="230"/>
      <c r="U26" s="230"/>
      <c r="V26" s="230"/>
      <c r="W26" s="230"/>
      <c r="X26" s="230"/>
      <c r="Y26" s="230"/>
      <c r="Z26" s="230"/>
      <c r="AA26" s="230"/>
      <c r="AB26" s="230"/>
    </row>
    <row r="27" spans="1:28">
      <c r="A27" s="1118" t="s">
        <v>1396</v>
      </c>
      <c r="B27" s="1119" t="s">
        <v>1397</v>
      </c>
      <c r="C27" s="552"/>
      <c r="D27" s="598" t="s">
        <v>176</v>
      </c>
      <c r="E27" s="549">
        <v>80</v>
      </c>
      <c r="F27" s="552">
        <v>201</v>
      </c>
      <c r="G27" s="553">
        <v>66.33</v>
      </c>
      <c r="H27" s="553">
        <v>1.25</v>
      </c>
      <c r="I27" s="554">
        <v>0.125</v>
      </c>
      <c r="J27" s="873" t="s">
        <v>921</v>
      </c>
      <c r="K27" s="874" t="s">
        <v>921</v>
      </c>
      <c r="L27" s="875" t="s">
        <v>921</v>
      </c>
      <c r="M27" s="230"/>
      <c r="N27" s="230"/>
      <c r="O27" s="230"/>
      <c r="P27" s="230"/>
      <c r="Q27" s="230"/>
      <c r="R27" s="230"/>
      <c r="S27" s="230"/>
      <c r="T27" s="230"/>
      <c r="U27" s="230"/>
      <c r="V27" s="230"/>
      <c r="W27" s="230"/>
      <c r="X27" s="230"/>
      <c r="Y27" s="230"/>
      <c r="Z27" s="230"/>
      <c r="AA27" s="230"/>
      <c r="AB27" s="230"/>
    </row>
    <row r="28" spans="1:28">
      <c r="A28" s="1118" t="s">
        <v>1398</v>
      </c>
      <c r="B28" s="1119" t="s">
        <v>1404</v>
      </c>
      <c r="C28" s="552"/>
      <c r="D28" s="598" t="s">
        <v>176</v>
      </c>
      <c r="E28" s="549">
        <v>80</v>
      </c>
      <c r="F28" s="555">
        <v>145.5</v>
      </c>
      <c r="G28" s="553">
        <v>66.33</v>
      </c>
      <c r="H28" s="553">
        <v>1.25</v>
      </c>
      <c r="I28" s="554">
        <v>0.125</v>
      </c>
      <c r="J28" s="804" t="s">
        <v>921</v>
      </c>
      <c r="K28" s="804" t="s">
        <v>921</v>
      </c>
      <c r="L28" s="805" t="s">
        <v>921</v>
      </c>
      <c r="M28" s="230"/>
      <c r="N28" s="230"/>
      <c r="O28" s="230"/>
      <c r="P28" s="230"/>
      <c r="Q28" s="230"/>
      <c r="R28" s="230"/>
      <c r="S28" s="230"/>
      <c r="T28" s="230"/>
      <c r="U28" s="230"/>
      <c r="V28" s="230"/>
      <c r="W28" s="230"/>
      <c r="X28" s="230"/>
      <c r="Y28" s="230"/>
      <c r="Z28" s="230"/>
      <c r="AA28" s="230"/>
      <c r="AB28" s="230"/>
    </row>
    <row r="29" spans="1:28">
      <c r="A29" s="596"/>
      <c r="B29" s="597"/>
      <c r="C29" s="555"/>
      <c r="D29" s="598"/>
      <c r="E29" s="550"/>
      <c r="F29" s="555"/>
      <c r="G29" s="556"/>
      <c r="H29" s="556"/>
      <c r="I29" s="557"/>
      <c r="J29" s="804" t="s">
        <v>921</v>
      </c>
      <c r="K29" s="804" t="s">
        <v>921</v>
      </c>
      <c r="L29" s="805" t="s">
        <v>921</v>
      </c>
      <c r="M29" s="230"/>
      <c r="N29" s="230"/>
      <c r="O29" s="230"/>
      <c r="P29" s="230"/>
      <c r="Q29" s="230"/>
      <c r="R29" s="230"/>
      <c r="S29" s="230"/>
      <c r="T29" s="230"/>
      <c r="U29" s="230"/>
      <c r="V29" s="230"/>
      <c r="W29" s="230"/>
      <c r="X29" s="230"/>
      <c r="Y29" s="230"/>
      <c r="Z29" s="230"/>
      <c r="AA29" s="230"/>
      <c r="AB29" s="230"/>
    </row>
    <row r="30" spans="1:28">
      <c r="A30" s="596"/>
      <c r="B30" s="597"/>
      <c r="C30" s="555"/>
      <c r="D30" s="598"/>
      <c r="E30" s="550"/>
      <c r="F30" s="555"/>
      <c r="G30" s="556"/>
      <c r="H30" s="556"/>
      <c r="I30" s="557"/>
      <c r="J30" s="804" t="s">
        <v>921</v>
      </c>
      <c r="K30" s="804" t="s">
        <v>921</v>
      </c>
      <c r="L30" s="805" t="s">
        <v>921</v>
      </c>
      <c r="M30" s="230"/>
      <c r="N30" s="230"/>
      <c r="O30" s="230"/>
      <c r="P30" s="230"/>
      <c r="Q30" s="230"/>
      <c r="R30" s="230"/>
      <c r="S30" s="230"/>
      <c r="T30" s="230"/>
      <c r="U30" s="230"/>
      <c r="V30" s="230"/>
      <c r="W30" s="230"/>
      <c r="X30" s="230"/>
      <c r="Y30" s="230"/>
      <c r="Z30" s="230"/>
      <c r="AA30" s="230"/>
      <c r="AB30" s="230"/>
    </row>
    <row r="31" spans="1:28">
      <c r="A31" s="596"/>
      <c r="B31" s="597"/>
      <c r="C31" s="555"/>
      <c r="D31" s="598"/>
      <c r="E31" s="550"/>
      <c r="F31" s="555"/>
      <c r="G31" s="556"/>
      <c r="H31" s="556"/>
      <c r="I31" s="557"/>
      <c r="J31" s="804" t="s">
        <v>921</v>
      </c>
      <c r="K31" s="804" t="s">
        <v>921</v>
      </c>
      <c r="L31" s="805" t="s">
        <v>921</v>
      </c>
      <c r="M31" s="230"/>
      <c r="N31" s="230"/>
      <c r="O31" s="230"/>
      <c r="P31" s="230"/>
      <c r="Q31" s="230"/>
      <c r="R31" s="230"/>
      <c r="S31" s="230"/>
      <c r="T31" s="230"/>
      <c r="U31" s="230"/>
      <c r="V31" s="230"/>
      <c r="W31" s="230"/>
      <c r="X31" s="230"/>
      <c r="Y31" s="230"/>
      <c r="Z31" s="230"/>
      <c r="AA31" s="230"/>
      <c r="AB31" s="230"/>
    </row>
    <row r="32" spans="1:28">
      <c r="A32" s="596"/>
      <c r="B32" s="597"/>
      <c r="C32" s="555"/>
      <c r="D32" s="598"/>
      <c r="E32" s="550"/>
      <c r="F32" s="555"/>
      <c r="G32" s="556"/>
      <c r="H32" s="556"/>
      <c r="I32" s="557"/>
      <c r="J32" s="804" t="s">
        <v>921</v>
      </c>
      <c r="K32" s="804" t="s">
        <v>921</v>
      </c>
      <c r="L32" s="805" t="s">
        <v>921</v>
      </c>
      <c r="M32" s="230"/>
      <c r="N32" s="230"/>
      <c r="O32" s="230"/>
      <c r="P32" s="230"/>
      <c r="Q32" s="230"/>
      <c r="R32" s="230"/>
      <c r="S32" s="230"/>
      <c r="T32" s="230"/>
      <c r="U32" s="230"/>
      <c r="V32" s="230"/>
      <c r="W32" s="230"/>
      <c r="X32" s="230"/>
      <c r="Y32" s="230"/>
      <c r="Z32" s="230"/>
      <c r="AA32" s="230"/>
      <c r="AB32" s="230"/>
    </row>
    <row r="33" spans="1:28">
      <c r="A33" s="596"/>
      <c r="B33" s="597"/>
      <c r="C33" s="555"/>
      <c r="D33" s="598"/>
      <c r="E33" s="550"/>
      <c r="F33" s="555"/>
      <c r="G33" s="556"/>
      <c r="H33" s="556"/>
      <c r="I33" s="557"/>
      <c r="J33" s="804" t="s">
        <v>921</v>
      </c>
      <c r="K33" s="804" t="s">
        <v>921</v>
      </c>
      <c r="L33" s="805" t="s">
        <v>921</v>
      </c>
      <c r="M33" s="230"/>
      <c r="N33" s="230"/>
      <c r="O33" s="230"/>
      <c r="P33" s="230"/>
      <c r="Q33" s="230"/>
      <c r="R33" s="230"/>
      <c r="S33" s="230"/>
      <c r="T33" s="230"/>
      <c r="U33" s="230"/>
      <c r="V33" s="230"/>
      <c r="W33" s="230"/>
      <c r="X33" s="230"/>
      <c r="Y33" s="230"/>
      <c r="Z33" s="230"/>
      <c r="AA33" s="230"/>
      <c r="AB33" s="230"/>
    </row>
    <row r="34" spans="1:28">
      <c r="A34" s="596"/>
      <c r="B34" s="597"/>
      <c r="C34" s="555"/>
      <c r="D34" s="598"/>
      <c r="E34" s="550"/>
      <c r="F34" s="555"/>
      <c r="G34" s="556"/>
      <c r="H34" s="556"/>
      <c r="I34" s="557"/>
      <c r="J34" s="804" t="s">
        <v>921</v>
      </c>
      <c r="K34" s="804" t="s">
        <v>921</v>
      </c>
      <c r="L34" s="805" t="s">
        <v>921</v>
      </c>
      <c r="M34" s="230"/>
      <c r="N34" s="230"/>
      <c r="O34" s="230"/>
      <c r="P34" s="230"/>
      <c r="Q34" s="230"/>
      <c r="R34" s="230"/>
      <c r="S34" s="230"/>
      <c r="T34" s="230"/>
      <c r="U34" s="230"/>
      <c r="V34" s="230"/>
      <c r="W34" s="230"/>
      <c r="X34" s="230"/>
      <c r="Y34" s="230"/>
      <c r="Z34" s="230"/>
      <c r="AA34" s="230"/>
      <c r="AB34" s="230"/>
    </row>
    <row r="35" spans="1:28">
      <c r="A35" s="596"/>
      <c r="B35" s="597"/>
      <c r="C35" s="555"/>
      <c r="D35" s="598"/>
      <c r="E35" s="550"/>
      <c r="F35" s="555"/>
      <c r="G35" s="556"/>
      <c r="H35" s="556"/>
      <c r="I35" s="557"/>
      <c r="J35" s="804" t="s">
        <v>921</v>
      </c>
      <c r="K35" s="804" t="s">
        <v>921</v>
      </c>
      <c r="L35" s="805" t="s">
        <v>921</v>
      </c>
      <c r="M35" s="230"/>
      <c r="N35" s="230"/>
      <c r="O35" s="230"/>
      <c r="P35" s="230"/>
      <c r="Q35" s="230"/>
      <c r="R35" s="230"/>
      <c r="S35" s="230"/>
      <c r="T35" s="230"/>
      <c r="U35" s="230"/>
      <c r="V35" s="230"/>
      <c r="W35" s="230"/>
      <c r="X35" s="230"/>
      <c r="Y35" s="230"/>
      <c r="Z35" s="230"/>
      <c r="AA35" s="230"/>
      <c r="AB35" s="230"/>
    </row>
    <row r="36" spans="1:28">
      <c r="A36" s="596"/>
      <c r="B36" s="597"/>
      <c r="C36" s="555"/>
      <c r="D36" s="598"/>
      <c r="E36" s="550"/>
      <c r="F36" s="555"/>
      <c r="G36" s="556"/>
      <c r="H36" s="556"/>
      <c r="I36" s="557"/>
      <c r="J36" s="804" t="s">
        <v>921</v>
      </c>
      <c r="K36" s="804" t="s">
        <v>921</v>
      </c>
      <c r="L36" s="805" t="s">
        <v>921</v>
      </c>
      <c r="M36" s="230"/>
      <c r="N36" s="230"/>
      <c r="O36" s="230"/>
      <c r="P36" s="230"/>
      <c r="Q36" s="230"/>
      <c r="R36" s="230"/>
      <c r="S36" s="230"/>
      <c r="T36" s="230"/>
      <c r="U36" s="230"/>
      <c r="V36" s="230"/>
      <c r="W36" s="230"/>
      <c r="X36" s="230"/>
      <c r="Y36" s="230"/>
      <c r="Z36" s="230"/>
      <c r="AA36" s="230"/>
      <c r="AB36" s="230"/>
    </row>
    <row r="37" spans="1:28">
      <c r="A37" s="596"/>
      <c r="B37" s="597"/>
      <c r="C37" s="555"/>
      <c r="D37" s="598"/>
      <c r="E37" s="550"/>
      <c r="F37" s="555"/>
      <c r="G37" s="556"/>
      <c r="H37" s="556"/>
      <c r="I37" s="557"/>
      <c r="J37" s="804" t="s">
        <v>921</v>
      </c>
      <c r="K37" s="804" t="s">
        <v>921</v>
      </c>
      <c r="L37" s="805" t="s">
        <v>921</v>
      </c>
      <c r="M37" s="230"/>
      <c r="N37" s="230"/>
      <c r="O37" s="230"/>
      <c r="P37" s="230"/>
      <c r="Q37" s="230"/>
      <c r="R37" s="230"/>
      <c r="S37" s="230"/>
      <c r="T37" s="230"/>
      <c r="U37" s="230"/>
      <c r="V37" s="230"/>
      <c r="W37" s="230"/>
      <c r="X37" s="230"/>
      <c r="Y37" s="230"/>
      <c r="Z37" s="230"/>
      <c r="AA37" s="230"/>
      <c r="AB37" s="230"/>
    </row>
    <row r="38" spans="1:28">
      <c r="A38" s="596"/>
      <c r="B38" s="597"/>
      <c r="C38" s="555"/>
      <c r="D38" s="598"/>
      <c r="E38" s="550"/>
      <c r="F38" s="555"/>
      <c r="G38" s="556"/>
      <c r="H38" s="556"/>
      <c r="I38" s="557"/>
      <c r="J38" s="804" t="s">
        <v>921</v>
      </c>
      <c r="K38" s="804" t="s">
        <v>921</v>
      </c>
      <c r="L38" s="805" t="s">
        <v>921</v>
      </c>
      <c r="M38" s="230"/>
      <c r="N38" s="230"/>
      <c r="O38" s="230"/>
      <c r="P38" s="230"/>
      <c r="Q38" s="230"/>
      <c r="R38" s="230"/>
      <c r="S38" s="230"/>
      <c r="T38" s="230"/>
      <c r="U38" s="230"/>
      <c r="V38" s="230"/>
      <c r="W38" s="230"/>
      <c r="X38" s="230"/>
      <c r="Y38" s="230"/>
      <c r="Z38" s="230"/>
      <c r="AA38" s="230"/>
      <c r="AB38" s="230"/>
    </row>
    <row r="39" spans="1:28">
      <c r="A39" s="596"/>
      <c r="B39" s="597"/>
      <c r="C39" s="555"/>
      <c r="D39" s="598"/>
      <c r="E39" s="550"/>
      <c r="F39" s="555"/>
      <c r="G39" s="556"/>
      <c r="H39" s="556"/>
      <c r="I39" s="557"/>
      <c r="J39" s="804" t="s">
        <v>921</v>
      </c>
      <c r="K39" s="804" t="s">
        <v>921</v>
      </c>
      <c r="L39" s="805" t="s">
        <v>921</v>
      </c>
      <c r="M39" s="230"/>
      <c r="N39" s="230"/>
      <c r="O39" s="230"/>
      <c r="P39" s="230"/>
      <c r="Q39" s="230"/>
      <c r="R39" s="230"/>
      <c r="S39" s="230"/>
      <c r="T39" s="230"/>
      <c r="U39" s="230"/>
      <c r="V39" s="230"/>
      <c r="W39" s="230"/>
      <c r="X39" s="230"/>
      <c r="Y39" s="230"/>
      <c r="Z39" s="230"/>
      <c r="AA39" s="230"/>
      <c r="AB39" s="230"/>
    </row>
    <row r="40" spans="1:28">
      <c r="A40" s="596"/>
      <c r="B40" s="597"/>
      <c r="C40" s="555"/>
      <c r="D40" s="598"/>
      <c r="E40" s="550"/>
      <c r="F40" s="555"/>
      <c r="G40" s="556"/>
      <c r="H40" s="556"/>
      <c r="I40" s="557"/>
      <c r="J40" s="804" t="s">
        <v>921</v>
      </c>
      <c r="K40" s="804" t="s">
        <v>921</v>
      </c>
      <c r="L40" s="805" t="s">
        <v>921</v>
      </c>
      <c r="M40" s="230"/>
      <c r="N40" s="230"/>
      <c r="O40" s="230"/>
      <c r="P40" s="230"/>
      <c r="Q40" s="230"/>
      <c r="R40" s="230"/>
      <c r="S40" s="230"/>
      <c r="T40" s="230"/>
      <c r="U40" s="230"/>
      <c r="V40" s="230"/>
      <c r="W40" s="230"/>
      <c r="X40" s="230"/>
      <c r="Y40" s="230"/>
      <c r="Z40" s="230"/>
      <c r="AA40" s="230"/>
      <c r="AB40" s="230"/>
    </row>
    <row r="41" spans="1:28">
      <c r="A41" s="596"/>
      <c r="B41" s="597"/>
      <c r="C41" s="555"/>
      <c r="D41" s="598"/>
      <c r="E41" s="550"/>
      <c r="F41" s="555"/>
      <c r="G41" s="556"/>
      <c r="H41" s="556"/>
      <c r="I41" s="557"/>
      <c r="J41" s="804" t="s">
        <v>921</v>
      </c>
      <c r="K41" s="804" t="s">
        <v>921</v>
      </c>
      <c r="L41" s="805" t="s">
        <v>921</v>
      </c>
      <c r="M41" s="230"/>
      <c r="N41" s="230"/>
      <c r="O41" s="230"/>
      <c r="P41" s="230"/>
      <c r="Q41" s="230"/>
      <c r="R41" s="230"/>
      <c r="S41" s="230"/>
      <c r="T41" s="230"/>
      <c r="U41" s="230"/>
      <c r="V41" s="230"/>
      <c r="W41" s="230"/>
      <c r="X41" s="230"/>
      <c r="Y41" s="230"/>
      <c r="Z41" s="230"/>
      <c r="AA41" s="230"/>
      <c r="AB41" s="230"/>
    </row>
    <row r="42" spans="1:28" s="7" customFormat="1">
      <c r="A42" s="596"/>
      <c r="B42" s="597"/>
      <c r="C42" s="555"/>
      <c r="D42" s="597"/>
      <c r="E42" s="550"/>
      <c r="F42" s="555"/>
      <c r="G42" s="556"/>
      <c r="H42" s="556"/>
      <c r="I42" s="557"/>
      <c r="J42" s="804" t="s">
        <v>921</v>
      </c>
      <c r="K42" s="804" t="s">
        <v>921</v>
      </c>
      <c r="L42" s="805" t="s">
        <v>921</v>
      </c>
      <c r="M42" s="324"/>
      <c r="N42" s="324"/>
      <c r="O42" s="324"/>
      <c r="P42" s="324"/>
      <c r="Q42" s="324"/>
      <c r="R42" s="324"/>
      <c r="S42" s="324"/>
      <c r="T42" s="324"/>
      <c r="U42" s="324"/>
      <c r="V42" s="324"/>
      <c r="W42" s="324"/>
      <c r="X42" s="324"/>
      <c r="Y42" s="324"/>
      <c r="Z42" s="324"/>
      <c r="AA42" s="324"/>
      <c r="AB42" s="324"/>
    </row>
    <row r="43" spans="1:28" s="7" customFormat="1">
      <c r="A43" s="596"/>
      <c r="B43" s="597"/>
      <c r="C43" s="555"/>
      <c r="D43" s="597"/>
      <c r="E43" s="550"/>
      <c r="F43" s="555"/>
      <c r="G43" s="556"/>
      <c r="H43" s="556"/>
      <c r="I43" s="557"/>
      <c r="J43" s="804" t="s">
        <v>921</v>
      </c>
      <c r="K43" s="804" t="s">
        <v>921</v>
      </c>
      <c r="L43" s="805" t="s">
        <v>921</v>
      </c>
      <c r="M43" s="324"/>
      <c r="N43" s="324"/>
      <c r="O43" s="324"/>
      <c r="P43" s="324"/>
      <c r="Q43" s="324"/>
      <c r="R43" s="324"/>
      <c r="S43" s="324"/>
      <c r="T43" s="324"/>
      <c r="U43" s="324"/>
      <c r="V43" s="324"/>
      <c r="W43" s="324"/>
      <c r="X43" s="324"/>
      <c r="Y43" s="324"/>
      <c r="Z43" s="324"/>
      <c r="AA43" s="324"/>
      <c r="AB43" s="324"/>
    </row>
    <row r="44" spans="1:28" s="7" customFormat="1">
      <c r="A44" s="596"/>
      <c r="B44" s="597"/>
      <c r="C44" s="555"/>
      <c r="D44" s="597"/>
      <c r="E44" s="550"/>
      <c r="F44" s="555"/>
      <c r="G44" s="556"/>
      <c r="H44" s="556"/>
      <c r="I44" s="557"/>
      <c r="J44" s="804" t="s">
        <v>921</v>
      </c>
      <c r="K44" s="804" t="s">
        <v>921</v>
      </c>
      <c r="L44" s="805" t="s">
        <v>921</v>
      </c>
      <c r="M44" s="324"/>
      <c r="N44" s="324"/>
      <c r="O44" s="324"/>
      <c r="P44" s="324"/>
      <c r="Q44" s="324"/>
      <c r="R44" s="324"/>
      <c r="S44" s="324"/>
      <c r="T44" s="324"/>
      <c r="U44" s="324"/>
      <c r="V44" s="324"/>
      <c r="W44" s="324"/>
      <c r="X44" s="324"/>
      <c r="Y44" s="324"/>
      <c r="Z44" s="324"/>
      <c r="AA44" s="324"/>
      <c r="AB44" s="324"/>
    </row>
    <row r="45" spans="1:28" s="7" customFormat="1">
      <c r="A45" s="527"/>
      <c r="B45" s="597"/>
      <c r="C45" s="555"/>
      <c r="D45" s="597"/>
      <c r="E45" s="528"/>
      <c r="F45" s="529"/>
      <c r="G45" s="530"/>
      <c r="H45" s="530"/>
      <c r="I45" s="557"/>
      <c r="J45" s="806" t="s">
        <v>921</v>
      </c>
      <c r="K45" s="806" t="s">
        <v>921</v>
      </c>
      <c r="L45" s="805" t="s">
        <v>921</v>
      </c>
      <c r="M45" s="324"/>
      <c r="N45" s="324"/>
      <c r="O45" s="324"/>
      <c r="P45" s="324"/>
      <c r="Q45" s="324"/>
      <c r="R45" s="324"/>
      <c r="S45" s="324"/>
      <c r="T45" s="324"/>
      <c r="U45" s="324"/>
      <c r="V45" s="324"/>
      <c r="W45" s="324"/>
      <c r="X45" s="324"/>
      <c r="Y45" s="324"/>
      <c r="Z45" s="324"/>
      <c r="AA45" s="324"/>
      <c r="AB45" s="324"/>
    </row>
    <row r="46" spans="1:28" s="7" customFormat="1">
      <c r="A46" s="527"/>
      <c r="B46" s="597"/>
      <c r="C46" s="555"/>
      <c r="D46" s="597"/>
      <c r="E46" s="528"/>
      <c r="F46" s="529"/>
      <c r="G46" s="530"/>
      <c r="H46" s="530"/>
      <c r="I46" s="557"/>
      <c r="J46" s="806" t="s">
        <v>921</v>
      </c>
      <c r="K46" s="806" t="s">
        <v>921</v>
      </c>
      <c r="L46" s="805" t="s">
        <v>921</v>
      </c>
      <c r="M46" s="324"/>
      <c r="N46" s="324"/>
      <c r="O46" s="324"/>
      <c r="P46" s="324"/>
      <c r="Q46" s="324"/>
      <c r="R46" s="324"/>
      <c r="S46" s="324"/>
      <c r="T46" s="324"/>
      <c r="U46" s="324"/>
      <c r="V46" s="324"/>
      <c r="W46" s="324"/>
      <c r="X46" s="324"/>
      <c r="Y46" s="324"/>
      <c r="Z46" s="324"/>
      <c r="AA46" s="324"/>
      <c r="AB46" s="324"/>
    </row>
    <row r="47" spans="1:28" s="7" customFormat="1">
      <c r="A47" s="527"/>
      <c r="B47" s="597"/>
      <c r="C47" s="555"/>
      <c r="D47" s="597"/>
      <c r="E47" s="528"/>
      <c r="F47" s="529"/>
      <c r="G47" s="530"/>
      <c r="H47" s="530"/>
      <c r="I47" s="557"/>
      <c r="J47" s="806" t="s">
        <v>921</v>
      </c>
      <c r="K47" s="806" t="s">
        <v>921</v>
      </c>
      <c r="L47" s="805" t="s">
        <v>921</v>
      </c>
      <c r="M47" s="324"/>
      <c r="N47" s="324"/>
      <c r="O47" s="324"/>
      <c r="P47" s="324"/>
      <c r="Q47" s="324"/>
      <c r="R47" s="324"/>
      <c r="S47" s="324"/>
      <c r="T47" s="324"/>
      <c r="U47" s="324"/>
      <c r="V47" s="324"/>
      <c r="W47" s="324"/>
      <c r="X47" s="324"/>
      <c r="Y47" s="324"/>
      <c r="Z47" s="324"/>
      <c r="AA47" s="324"/>
      <c r="AB47" s="324"/>
    </row>
    <row r="48" spans="1:28" s="7" customFormat="1">
      <c r="A48" s="527"/>
      <c r="B48" s="597"/>
      <c r="C48" s="555"/>
      <c r="D48" s="597"/>
      <c r="E48" s="528"/>
      <c r="F48" s="529"/>
      <c r="G48" s="530"/>
      <c r="H48" s="530"/>
      <c r="I48" s="557"/>
      <c r="J48" s="806" t="s">
        <v>921</v>
      </c>
      <c r="K48" s="806" t="s">
        <v>921</v>
      </c>
      <c r="L48" s="805" t="s">
        <v>921</v>
      </c>
      <c r="M48" s="324"/>
      <c r="N48" s="324"/>
      <c r="O48" s="324"/>
      <c r="P48" s="324"/>
      <c r="Q48" s="324"/>
      <c r="R48" s="324"/>
      <c r="S48" s="324"/>
      <c r="T48" s="324"/>
      <c r="U48" s="324"/>
      <c r="V48" s="324"/>
      <c r="W48" s="324"/>
      <c r="X48" s="324"/>
      <c r="Y48" s="324"/>
      <c r="Z48" s="324"/>
      <c r="AA48" s="324"/>
      <c r="AB48" s="324"/>
    </row>
    <row r="49" spans="1:28" s="7" customFormat="1">
      <c r="A49" s="527"/>
      <c r="B49" s="597"/>
      <c r="C49" s="555"/>
      <c r="D49" s="597"/>
      <c r="E49" s="528"/>
      <c r="F49" s="529"/>
      <c r="G49" s="530"/>
      <c r="H49" s="530"/>
      <c r="I49" s="557"/>
      <c r="J49" s="806" t="s">
        <v>921</v>
      </c>
      <c r="K49" s="806" t="s">
        <v>921</v>
      </c>
      <c r="L49" s="805" t="s">
        <v>921</v>
      </c>
      <c r="M49" s="324"/>
      <c r="N49" s="324"/>
      <c r="O49" s="324"/>
      <c r="P49" s="324"/>
      <c r="Q49" s="324"/>
      <c r="R49" s="324"/>
      <c r="S49" s="324"/>
      <c r="T49" s="324"/>
      <c r="U49" s="324"/>
      <c r="V49" s="324"/>
      <c r="W49" s="324"/>
      <c r="X49" s="324"/>
      <c r="Y49" s="324"/>
      <c r="Z49" s="324"/>
      <c r="AA49" s="324"/>
      <c r="AB49" s="324"/>
    </row>
    <row r="50" spans="1:28" s="7" customFormat="1">
      <c r="A50" s="527"/>
      <c r="B50" s="597"/>
      <c r="C50" s="555"/>
      <c r="D50" s="597"/>
      <c r="E50" s="528"/>
      <c r="F50" s="529"/>
      <c r="G50" s="530"/>
      <c r="H50" s="530"/>
      <c r="I50" s="557"/>
      <c r="J50" s="806" t="s">
        <v>921</v>
      </c>
      <c r="K50" s="806" t="s">
        <v>921</v>
      </c>
      <c r="L50" s="805" t="s">
        <v>921</v>
      </c>
      <c r="M50" s="324"/>
      <c r="N50" s="324"/>
      <c r="O50" s="324"/>
      <c r="P50" s="324"/>
      <c r="Q50" s="324"/>
      <c r="R50" s="324"/>
      <c r="S50" s="324"/>
      <c r="T50" s="324"/>
      <c r="U50" s="324"/>
      <c r="V50" s="324"/>
      <c r="W50" s="324"/>
      <c r="X50" s="324"/>
      <c r="Y50" s="324"/>
      <c r="Z50" s="324"/>
      <c r="AA50" s="324"/>
      <c r="AB50" s="324"/>
    </row>
    <row r="51" spans="1:28" s="7" customFormat="1">
      <c r="A51" s="527"/>
      <c r="B51" s="597"/>
      <c r="C51" s="555"/>
      <c r="D51" s="597"/>
      <c r="E51" s="528"/>
      <c r="F51" s="529"/>
      <c r="G51" s="530"/>
      <c r="H51" s="530"/>
      <c r="I51" s="557"/>
      <c r="J51" s="806" t="s">
        <v>921</v>
      </c>
      <c r="K51" s="806" t="s">
        <v>921</v>
      </c>
      <c r="L51" s="805" t="s">
        <v>921</v>
      </c>
      <c r="M51" s="324"/>
      <c r="N51" s="324"/>
      <c r="O51" s="324"/>
      <c r="P51" s="324"/>
      <c r="Q51" s="324"/>
      <c r="R51" s="324"/>
      <c r="S51" s="324"/>
      <c r="T51" s="324"/>
      <c r="U51" s="324"/>
      <c r="V51" s="324"/>
      <c r="W51" s="324"/>
      <c r="X51" s="324"/>
      <c r="Y51" s="324"/>
      <c r="Z51" s="324"/>
      <c r="AA51" s="324"/>
      <c r="AB51" s="324"/>
    </row>
    <row r="52" spans="1:28" s="7" customFormat="1">
      <c r="A52" s="527"/>
      <c r="B52" s="597"/>
      <c r="C52" s="555"/>
      <c r="D52" s="597"/>
      <c r="E52" s="528"/>
      <c r="F52" s="529"/>
      <c r="G52" s="530"/>
      <c r="H52" s="530"/>
      <c r="I52" s="557"/>
      <c r="J52" s="806" t="s">
        <v>921</v>
      </c>
      <c r="K52" s="806" t="s">
        <v>921</v>
      </c>
      <c r="L52" s="805" t="s">
        <v>921</v>
      </c>
      <c r="M52" s="324"/>
      <c r="N52" s="324"/>
      <c r="O52" s="324"/>
      <c r="P52" s="324"/>
      <c r="Q52" s="324"/>
      <c r="R52" s="324"/>
      <c r="S52" s="324"/>
      <c r="T52" s="324"/>
      <c r="U52" s="324"/>
      <c r="V52" s="324"/>
      <c r="W52" s="324"/>
      <c r="X52" s="324"/>
      <c r="Y52" s="324"/>
      <c r="Z52" s="324"/>
      <c r="AA52" s="324"/>
      <c r="AB52" s="324"/>
    </row>
    <row r="53" spans="1:28" s="7" customFormat="1">
      <c r="A53" s="527"/>
      <c r="B53" s="597"/>
      <c r="C53" s="555"/>
      <c r="D53" s="597"/>
      <c r="E53" s="528"/>
      <c r="F53" s="529"/>
      <c r="G53" s="530"/>
      <c r="H53" s="530"/>
      <c r="I53" s="557"/>
      <c r="J53" s="806" t="s">
        <v>921</v>
      </c>
      <c r="K53" s="806" t="s">
        <v>921</v>
      </c>
      <c r="L53" s="805" t="s">
        <v>921</v>
      </c>
      <c r="M53" s="324"/>
      <c r="N53" s="324"/>
      <c r="O53" s="324"/>
      <c r="P53" s="324"/>
      <c r="Q53" s="324"/>
      <c r="R53" s="324"/>
      <c r="S53" s="324"/>
      <c r="T53" s="324"/>
      <c r="U53" s="324"/>
      <c r="V53" s="324"/>
      <c r="W53" s="324"/>
      <c r="X53" s="324"/>
      <c r="Y53" s="324"/>
      <c r="Z53" s="324"/>
      <c r="AA53" s="324"/>
      <c r="AB53" s="324"/>
    </row>
    <row r="54" spans="1:28" s="7" customFormat="1">
      <c r="A54" s="527"/>
      <c r="B54" s="597"/>
      <c r="C54" s="555"/>
      <c r="D54" s="597"/>
      <c r="E54" s="528"/>
      <c r="F54" s="529"/>
      <c r="G54" s="530"/>
      <c r="H54" s="530"/>
      <c r="I54" s="557"/>
      <c r="J54" s="806" t="s">
        <v>921</v>
      </c>
      <c r="K54" s="806" t="s">
        <v>921</v>
      </c>
      <c r="L54" s="805" t="s">
        <v>921</v>
      </c>
      <c r="M54" s="324"/>
      <c r="N54" s="324"/>
      <c r="O54" s="324"/>
      <c r="P54" s="324"/>
      <c r="Q54" s="324"/>
      <c r="R54" s="324"/>
      <c r="S54" s="324"/>
      <c r="T54" s="324"/>
      <c r="U54" s="324"/>
      <c r="V54" s="324"/>
      <c r="W54" s="324"/>
      <c r="X54" s="324"/>
      <c r="Y54" s="324"/>
      <c r="Z54" s="324"/>
      <c r="AA54" s="324"/>
      <c r="AB54" s="324"/>
    </row>
    <row r="55" spans="1:28" s="7" customFormat="1">
      <c r="A55" s="527"/>
      <c r="B55" s="597"/>
      <c r="C55" s="555"/>
      <c r="D55" s="597"/>
      <c r="E55" s="528"/>
      <c r="F55" s="529"/>
      <c r="G55" s="530"/>
      <c r="H55" s="530"/>
      <c r="I55" s="557"/>
      <c r="J55" s="806" t="s">
        <v>921</v>
      </c>
      <c r="K55" s="806" t="s">
        <v>921</v>
      </c>
      <c r="L55" s="805" t="s">
        <v>921</v>
      </c>
      <c r="M55" s="324"/>
      <c r="N55" s="324"/>
      <c r="O55" s="324"/>
      <c r="P55" s="324"/>
      <c r="Q55" s="324"/>
      <c r="R55" s="324"/>
      <c r="S55" s="324"/>
      <c r="T55" s="324"/>
      <c r="U55" s="324"/>
      <c r="V55" s="324"/>
      <c r="W55" s="324"/>
      <c r="X55" s="324"/>
      <c r="Y55" s="324"/>
      <c r="Z55" s="324"/>
      <c r="AA55" s="324"/>
      <c r="AB55" s="324"/>
    </row>
    <row r="56" spans="1:28" s="7" customFormat="1">
      <c r="A56" s="527"/>
      <c r="B56" s="597"/>
      <c r="C56" s="555"/>
      <c r="D56" s="597"/>
      <c r="E56" s="528"/>
      <c r="F56" s="529"/>
      <c r="G56" s="530"/>
      <c r="H56" s="530"/>
      <c r="I56" s="557"/>
      <c r="J56" s="806" t="s">
        <v>921</v>
      </c>
      <c r="K56" s="806" t="s">
        <v>921</v>
      </c>
      <c r="L56" s="805" t="s">
        <v>921</v>
      </c>
      <c r="M56" s="324"/>
      <c r="N56" s="324"/>
      <c r="O56" s="324"/>
      <c r="P56" s="324"/>
      <c r="Q56" s="324"/>
      <c r="R56" s="324"/>
      <c r="S56" s="324"/>
      <c r="T56" s="324"/>
      <c r="U56" s="324"/>
      <c r="V56" s="324"/>
      <c r="W56" s="324"/>
      <c r="X56" s="324"/>
      <c r="Y56" s="324"/>
      <c r="Z56" s="324"/>
      <c r="AA56" s="324"/>
      <c r="AB56" s="324"/>
    </row>
    <row r="57" spans="1:28" s="7" customFormat="1">
      <c r="A57" s="527"/>
      <c r="B57" s="597"/>
      <c r="C57" s="555"/>
      <c r="D57" s="597"/>
      <c r="E57" s="528"/>
      <c r="F57" s="529"/>
      <c r="G57" s="530"/>
      <c r="H57" s="530"/>
      <c r="I57" s="557"/>
      <c r="J57" s="806" t="s">
        <v>921</v>
      </c>
      <c r="K57" s="806" t="s">
        <v>921</v>
      </c>
      <c r="L57" s="805" t="s">
        <v>921</v>
      </c>
      <c r="M57" s="324"/>
      <c r="N57" s="324"/>
      <c r="O57" s="324"/>
      <c r="P57" s="324"/>
      <c r="Q57" s="324"/>
      <c r="R57" s="324"/>
      <c r="S57" s="324"/>
      <c r="T57" s="324"/>
      <c r="U57" s="324"/>
      <c r="V57" s="324"/>
      <c r="W57" s="324"/>
      <c r="X57" s="324"/>
      <c r="Y57" s="324"/>
      <c r="Z57" s="324"/>
      <c r="AA57" s="324"/>
      <c r="AB57" s="324"/>
    </row>
    <row r="58" spans="1:28" s="7" customFormat="1">
      <c r="A58" s="527"/>
      <c r="B58" s="597"/>
      <c r="C58" s="555"/>
      <c r="D58" s="597"/>
      <c r="E58" s="528"/>
      <c r="F58" s="529"/>
      <c r="G58" s="530"/>
      <c r="H58" s="530"/>
      <c r="I58" s="557"/>
      <c r="J58" s="806" t="s">
        <v>921</v>
      </c>
      <c r="K58" s="806" t="s">
        <v>921</v>
      </c>
      <c r="L58" s="805" t="s">
        <v>921</v>
      </c>
      <c r="M58" s="324"/>
      <c r="N58" s="324"/>
      <c r="O58" s="324"/>
      <c r="P58" s="324"/>
      <c r="Q58" s="324"/>
      <c r="R58" s="324"/>
      <c r="S58" s="324"/>
      <c r="T58" s="324"/>
      <c r="U58" s="324"/>
      <c r="V58" s="324"/>
      <c r="W58" s="324"/>
      <c r="X58" s="324"/>
      <c r="Y58" s="324"/>
      <c r="Z58" s="324"/>
      <c r="AA58" s="324"/>
      <c r="AB58" s="324"/>
    </row>
    <row r="59" spans="1:28" s="7" customFormat="1">
      <c r="A59" s="596"/>
      <c r="B59" s="597"/>
      <c r="C59" s="555"/>
      <c r="D59" s="597"/>
      <c r="E59" s="550"/>
      <c r="F59" s="555"/>
      <c r="G59" s="530"/>
      <c r="H59" s="530"/>
      <c r="I59" s="557"/>
      <c r="J59" s="806" t="s">
        <v>921</v>
      </c>
      <c r="K59" s="806" t="s">
        <v>921</v>
      </c>
      <c r="L59" s="805" t="s">
        <v>921</v>
      </c>
      <c r="M59" s="324"/>
      <c r="N59" s="324"/>
      <c r="O59" s="324"/>
      <c r="P59" s="324"/>
      <c r="Q59" s="324"/>
      <c r="R59" s="324"/>
      <c r="S59" s="324"/>
      <c r="T59" s="324"/>
      <c r="U59" s="324"/>
      <c r="V59" s="324"/>
      <c r="W59" s="324"/>
      <c r="X59" s="324"/>
      <c r="Y59" s="324"/>
      <c r="Z59" s="324"/>
      <c r="AA59" s="324"/>
      <c r="AB59" s="324"/>
    </row>
    <row r="60" spans="1:28" s="7" customFormat="1">
      <c r="A60" s="527"/>
      <c r="B60" s="597"/>
      <c r="C60" s="555"/>
      <c r="D60" s="597"/>
      <c r="E60" s="550"/>
      <c r="F60" s="555"/>
      <c r="G60" s="556"/>
      <c r="H60" s="556"/>
      <c r="I60" s="557"/>
      <c r="J60" s="804" t="s">
        <v>921</v>
      </c>
      <c r="K60" s="804" t="s">
        <v>921</v>
      </c>
      <c r="L60" s="805" t="s">
        <v>921</v>
      </c>
      <c r="M60" s="324"/>
      <c r="N60" s="324"/>
      <c r="O60" s="324"/>
      <c r="P60" s="324"/>
      <c r="Q60" s="324"/>
      <c r="R60" s="324"/>
      <c r="S60" s="324"/>
      <c r="T60" s="324"/>
      <c r="U60" s="324"/>
      <c r="V60" s="324"/>
      <c r="W60" s="324"/>
      <c r="X60" s="324"/>
      <c r="Y60" s="324"/>
      <c r="Z60" s="324"/>
      <c r="AA60" s="324"/>
      <c r="AB60" s="324"/>
    </row>
    <row r="61" spans="1:28" s="7" customFormat="1">
      <c r="A61" s="596"/>
      <c r="B61" s="597"/>
      <c r="C61" s="555"/>
      <c r="D61" s="597"/>
      <c r="E61" s="550"/>
      <c r="F61" s="555"/>
      <c r="G61" s="556"/>
      <c r="H61" s="556"/>
      <c r="I61" s="557"/>
      <c r="J61" s="804" t="s">
        <v>921</v>
      </c>
      <c r="K61" s="804" t="s">
        <v>921</v>
      </c>
      <c r="L61" s="805" t="s">
        <v>921</v>
      </c>
      <c r="M61" s="324"/>
      <c r="N61" s="324"/>
      <c r="O61" s="324"/>
      <c r="P61" s="324"/>
      <c r="Q61" s="324"/>
      <c r="R61" s="324"/>
      <c r="S61" s="324"/>
      <c r="T61" s="324"/>
      <c r="U61" s="324"/>
      <c r="V61" s="324"/>
      <c r="W61" s="324"/>
      <c r="X61" s="324"/>
      <c r="Y61" s="324"/>
      <c r="Z61" s="324"/>
      <c r="AA61" s="324"/>
      <c r="AB61" s="324"/>
    </row>
    <row r="62" spans="1:28">
      <c r="A62" s="596"/>
      <c r="B62" s="597"/>
      <c r="C62" s="555"/>
      <c r="D62" s="597"/>
      <c r="E62" s="550"/>
      <c r="F62" s="555"/>
      <c r="G62" s="556"/>
      <c r="H62" s="556"/>
      <c r="I62" s="557"/>
      <c r="J62" s="804" t="s">
        <v>921</v>
      </c>
      <c r="K62" s="804" t="s">
        <v>921</v>
      </c>
      <c r="L62" s="805" t="s">
        <v>921</v>
      </c>
      <c r="M62" s="230"/>
      <c r="N62" s="230"/>
      <c r="O62" s="230"/>
      <c r="P62" s="230"/>
      <c r="Q62" s="230"/>
      <c r="R62" s="230"/>
      <c r="S62" s="230"/>
      <c r="T62" s="230"/>
      <c r="U62" s="230"/>
      <c r="V62" s="230"/>
      <c r="W62" s="230"/>
      <c r="X62" s="230"/>
      <c r="Y62" s="230"/>
      <c r="Z62" s="230"/>
      <c r="AA62" s="230"/>
      <c r="AB62" s="230"/>
    </row>
    <row r="63" spans="1:28">
      <c r="A63" s="596"/>
      <c r="B63" s="597"/>
      <c r="C63" s="555"/>
      <c r="D63" s="597"/>
      <c r="E63" s="550"/>
      <c r="F63" s="555"/>
      <c r="G63" s="556"/>
      <c r="H63" s="556"/>
      <c r="I63" s="557"/>
      <c r="J63" s="804" t="s">
        <v>921</v>
      </c>
      <c r="K63" s="804" t="s">
        <v>921</v>
      </c>
      <c r="L63" s="805" t="s">
        <v>921</v>
      </c>
      <c r="M63" s="230"/>
      <c r="N63" s="230"/>
      <c r="O63" s="230"/>
      <c r="P63" s="230"/>
      <c r="Q63" s="230"/>
      <c r="R63" s="230"/>
      <c r="S63" s="230"/>
      <c r="T63" s="230"/>
      <c r="U63" s="230"/>
      <c r="V63" s="230"/>
      <c r="W63" s="230"/>
      <c r="X63" s="230"/>
      <c r="Y63" s="230"/>
      <c r="Z63" s="230"/>
      <c r="AA63" s="230"/>
      <c r="AB63" s="230"/>
    </row>
    <row r="64" spans="1:28" ht="13.5" thickBot="1">
      <c r="A64" s="599"/>
      <c r="B64" s="600"/>
      <c r="C64" s="558"/>
      <c r="D64" s="600"/>
      <c r="E64" s="551"/>
      <c r="F64" s="558"/>
      <c r="G64" s="559"/>
      <c r="H64" s="559"/>
      <c r="I64" s="560"/>
      <c r="J64" s="807" t="s">
        <v>921</v>
      </c>
      <c r="K64" s="807" t="s">
        <v>921</v>
      </c>
      <c r="L64" s="808" t="s">
        <v>921</v>
      </c>
      <c r="M64" s="230"/>
      <c r="N64" s="230"/>
      <c r="O64" s="230"/>
      <c r="P64" s="230"/>
      <c r="Q64" s="230"/>
      <c r="R64" s="230"/>
      <c r="S64" s="230"/>
      <c r="T64" s="230"/>
      <c r="U64" s="230"/>
      <c r="V64" s="230"/>
      <c r="W64" s="230"/>
      <c r="X64" s="230"/>
      <c r="Y64" s="230"/>
      <c r="Z64" s="230"/>
      <c r="AA64" s="230"/>
      <c r="AB64" s="230"/>
    </row>
    <row r="65" spans="1:28">
      <c r="A65" s="332"/>
      <c r="B65" s="332"/>
      <c r="C65" s="332"/>
      <c r="D65" s="332"/>
      <c r="E65" s="333"/>
      <c r="F65" s="334"/>
      <c r="G65" s="335"/>
      <c r="H65" s="335"/>
      <c r="I65" s="335"/>
      <c r="J65" s="230"/>
      <c r="K65" s="230"/>
      <c r="L65" s="230"/>
      <c r="M65" s="230"/>
      <c r="N65" s="230"/>
      <c r="O65" s="230"/>
      <c r="P65" s="230"/>
      <c r="Q65" s="230"/>
      <c r="R65" s="230"/>
      <c r="S65" s="230"/>
      <c r="T65" s="230"/>
      <c r="U65" s="230"/>
      <c r="V65" s="230"/>
      <c r="W65" s="230"/>
      <c r="X65" s="230"/>
      <c r="Y65" s="230"/>
      <c r="Z65" s="230"/>
      <c r="AA65" s="230"/>
      <c r="AB65" s="230"/>
    </row>
    <row r="66" spans="1:28">
      <c r="A66" s="356" t="s">
        <v>377</v>
      </c>
      <c r="B66" s="331"/>
      <c r="C66" s="331"/>
      <c r="D66" s="331"/>
      <c r="E66" s="331"/>
      <c r="F66" s="331"/>
      <c r="G66" s="331"/>
      <c r="H66" s="331"/>
      <c r="I66" s="331"/>
      <c r="J66" s="331"/>
      <c r="K66" s="331"/>
      <c r="L66" s="331"/>
      <c r="M66" s="230"/>
      <c r="N66" s="230"/>
      <c r="O66" s="230"/>
      <c r="P66" s="230"/>
      <c r="Q66" s="230"/>
      <c r="R66" s="230"/>
      <c r="S66" s="230"/>
      <c r="T66" s="230"/>
      <c r="U66" s="230"/>
      <c r="V66" s="230"/>
      <c r="W66" s="230"/>
      <c r="X66" s="230"/>
      <c r="Y66" s="230"/>
      <c r="Z66" s="230"/>
      <c r="AA66" s="230"/>
    </row>
    <row r="67" spans="1:28">
      <c r="A67" s="10"/>
      <c r="B67" s="10"/>
      <c r="C67" s="10"/>
      <c r="D67" s="10"/>
      <c r="E67" s="10"/>
      <c r="F67" s="10"/>
      <c r="G67" s="10"/>
      <c r="H67" s="10"/>
      <c r="I67" s="230"/>
      <c r="J67" s="230"/>
      <c r="K67" s="230"/>
      <c r="L67" s="230"/>
      <c r="M67" s="230"/>
      <c r="N67" s="230"/>
      <c r="O67" s="230"/>
      <c r="P67" s="230"/>
      <c r="Q67" s="230"/>
      <c r="R67" s="230"/>
      <c r="S67" s="230"/>
      <c r="T67" s="230"/>
      <c r="U67" s="230"/>
      <c r="V67" s="230"/>
      <c r="W67" s="230"/>
      <c r="X67" s="230"/>
      <c r="Y67" s="230"/>
      <c r="Z67" s="230"/>
      <c r="AA67" s="230"/>
    </row>
    <row r="68" spans="1:28" ht="13.5" thickBot="1">
      <c r="A68" s="13" t="s">
        <v>361</v>
      </c>
      <c r="B68" s="16"/>
      <c r="C68" s="10"/>
      <c r="D68" s="10"/>
      <c r="E68" s="1255" t="s">
        <v>922</v>
      </c>
      <c r="F68" s="1247"/>
      <c r="G68" s="1247"/>
      <c r="H68" s="1249" t="s">
        <v>836</v>
      </c>
      <c r="I68" s="1244"/>
      <c r="J68" s="1245"/>
      <c r="K68" s="230"/>
      <c r="L68" s="230"/>
      <c r="M68" s="230"/>
      <c r="N68" s="230"/>
      <c r="O68" s="230"/>
      <c r="P68" s="230"/>
      <c r="Q68" s="230"/>
      <c r="R68" s="230"/>
      <c r="S68" s="230"/>
      <c r="T68" s="230"/>
      <c r="U68" s="230"/>
      <c r="V68" s="230"/>
      <c r="W68" s="230"/>
      <c r="X68" s="230"/>
      <c r="Y68" s="230"/>
      <c r="Z68" s="230"/>
      <c r="AA68" s="230"/>
    </row>
    <row r="69" spans="1:28" ht="14.25">
      <c r="A69" s="606" t="s">
        <v>163</v>
      </c>
      <c r="B69" s="183" t="s">
        <v>163</v>
      </c>
      <c r="C69" s="1253" t="s">
        <v>171</v>
      </c>
      <c r="D69" s="1204"/>
      <c r="E69" s="161" t="s">
        <v>181</v>
      </c>
      <c r="F69" s="21" t="s">
        <v>182</v>
      </c>
      <c r="G69" s="22" t="s">
        <v>183</v>
      </c>
      <c r="H69" s="20" t="s">
        <v>181</v>
      </c>
      <c r="I69" s="21" t="s">
        <v>182</v>
      </c>
      <c r="J69" s="22" t="s">
        <v>183</v>
      </c>
      <c r="K69" s="230"/>
      <c r="L69" s="230"/>
      <c r="M69" s="230"/>
      <c r="N69" s="230"/>
      <c r="O69" s="230"/>
      <c r="P69" s="230"/>
      <c r="Q69" s="230"/>
      <c r="R69" s="230"/>
      <c r="S69" s="230"/>
      <c r="T69" s="230"/>
      <c r="U69" s="230"/>
      <c r="V69" s="230"/>
      <c r="W69" s="230"/>
      <c r="X69" s="230"/>
      <c r="Y69" s="230"/>
      <c r="Z69" s="230"/>
      <c r="AA69" s="230"/>
    </row>
    <row r="70" spans="1:28">
      <c r="A70" s="39" t="s">
        <v>166</v>
      </c>
      <c r="B70" s="160" t="s">
        <v>167</v>
      </c>
      <c r="C70" s="160"/>
      <c r="D70" s="137"/>
      <c r="E70" s="137" t="s">
        <v>184</v>
      </c>
      <c r="F70" s="137" t="s">
        <v>184</v>
      </c>
      <c r="G70" s="110" t="s">
        <v>184</v>
      </c>
      <c r="H70" s="39" t="s">
        <v>184</v>
      </c>
      <c r="I70" s="137" t="s">
        <v>184</v>
      </c>
      <c r="J70" s="110" t="s">
        <v>184</v>
      </c>
      <c r="K70" s="230"/>
      <c r="L70" s="230"/>
      <c r="M70" s="230"/>
      <c r="N70" s="230"/>
      <c r="O70" s="230"/>
      <c r="P70" s="230"/>
      <c r="Q70" s="230"/>
      <c r="R70" s="230"/>
      <c r="S70" s="230"/>
      <c r="T70" s="230"/>
      <c r="U70" s="230"/>
      <c r="V70" s="230"/>
      <c r="W70" s="230"/>
      <c r="X70" s="230"/>
      <c r="Y70" s="230"/>
      <c r="Z70" s="230"/>
      <c r="AA70" s="230"/>
    </row>
    <row r="71" spans="1:28" ht="13.5" thickBot="1">
      <c r="A71" s="23"/>
      <c r="B71" s="138"/>
      <c r="C71" s="1251"/>
      <c r="D71" s="1252"/>
      <c r="E71" s="64" t="s">
        <v>185</v>
      </c>
      <c r="F71" s="64" t="s">
        <v>186</v>
      </c>
      <c r="G71" s="162" t="s">
        <v>186</v>
      </c>
      <c r="H71" s="23" t="s">
        <v>185</v>
      </c>
      <c r="I71" s="892" t="s">
        <v>186</v>
      </c>
      <c r="J71" s="893" t="s">
        <v>186</v>
      </c>
      <c r="K71" s="230"/>
      <c r="L71" s="230"/>
      <c r="M71" s="230"/>
      <c r="N71" s="230"/>
      <c r="O71" s="230"/>
      <c r="P71" s="230"/>
      <c r="Q71" s="230"/>
      <c r="R71" s="230"/>
      <c r="S71" s="230"/>
      <c r="T71" s="230"/>
      <c r="U71" s="230"/>
      <c r="V71" s="230"/>
      <c r="W71" s="230"/>
      <c r="X71" s="230"/>
      <c r="Y71" s="230"/>
      <c r="Z71" s="230"/>
      <c r="AA71" s="230"/>
    </row>
    <row r="72" spans="1:28">
      <c r="A72" s="170" t="str">
        <f t="shared" ref="A72:B91" si="0">IF(A27="","",A27)</f>
        <v>Bldg-01</v>
      </c>
      <c r="B72" s="171" t="str">
        <f t="shared" si="0"/>
        <v>Main Building</v>
      </c>
      <c r="C72" s="171" t="str">
        <f t="shared" ref="C72:C109" si="1">IF(D27="","",D27)</f>
        <v>Natural Gas</v>
      </c>
      <c r="D72" s="172"/>
      <c r="E72" s="173">
        <f>IF($F27="","",IF(G27="",(VLOOKUP($C72,Stationary_Fuel_Fctrs_mmBtu,2,FALSE))*$F27/(IF($E27="", 0.8,$E27/100)),G27*$F27))</f>
        <v>13332.33</v>
      </c>
      <c r="F72" s="173">
        <f t="shared" ref="F72:F109" si="2">IF($F27="","",IF(H27="",(VLOOKUP($C72,Stationary_Fuel_Fctrs_mmBtu,3,FALSE))*$F27/(IF($E27="", 0.8,$E27/100)),H27*$F27))</f>
        <v>251.25</v>
      </c>
      <c r="G72" s="261">
        <f t="shared" ref="G72:G109" si="3">IF($F27="","",IF(I27="",(VLOOKUP($C72,Stationary_Fuel_Fctrs_mmBtu,4,FALSE))*$F27/(IF($E27="", 0.8,$E27/100)),I27*$F27))</f>
        <v>25.125</v>
      </c>
      <c r="H72" s="947">
        <f>IF($F27="","",IF(OR(J27="",J27="&lt;enter factor&gt;"),E72,J27*$F27))</f>
        <v>13332.33</v>
      </c>
      <c r="I72" s="173">
        <f>IF($F27="","",IF(OR(K27="",K27="&lt;enter factor&gt;"),F72,K27*$F27))</f>
        <v>251.25</v>
      </c>
      <c r="J72" s="261">
        <f>IF($F27="","",IF(OR(L27="",L27="&lt;enter factor&gt;"),G72,L27*$F27))</f>
        <v>25.125</v>
      </c>
      <c r="K72" s="230"/>
      <c r="L72" s="230"/>
      <c r="M72" s="230"/>
      <c r="N72" s="230"/>
      <c r="O72" s="230"/>
      <c r="P72" s="230"/>
      <c r="Q72" s="230"/>
      <c r="R72" s="230"/>
      <c r="S72" s="230"/>
      <c r="T72" s="230"/>
      <c r="U72" s="230"/>
      <c r="V72" s="230"/>
      <c r="W72" s="230"/>
      <c r="X72" s="230"/>
      <c r="Y72" s="230"/>
      <c r="Z72" s="230"/>
      <c r="AA72" s="230"/>
    </row>
    <row r="73" spans="1:28">
      <c r="A73" s="174" t="str">
        <f t="shared" si="0"/>
        <v>Bldg-02</v>
      </c>
      <c r="B73" s="163" t="str">
        <f t="shared" si="0"/>
        <v>Rental Property</v>
      </c>
      <c r="C73" s="163" t="str">
        <f t="shared" si="1"/>
        <v>Natural Gas</v>
      </c>
      <c r="D73" s="164"/>
      <c r="E73" s="166">
        <f t="shared" ref="E73:E109" si="4">IF($F28="","",IF(G28="",(VLOOKUP($C73,Stationary_Fuel_Fctrs_mmBtu,2,FALSE))*$F28/(IF($E28="", 0.8,$E28/100)),G28*$F28))</f>
        <v>9651.0149999999994</v>
      </c>
      <c r="F73" s="166">
        <f t="shared" si="2"/>
        <v>181.875</v>
      </c>
      <c r="G73" s="262">
        <f t="shared" si="3"/>
        <v>18.1875</v>
      </c>
      <c r="H73" s="948">
        <f t="shared" ref="H73:H109" si="5">IF($F28="","",IF(OR(J28="",J28="&lt;enter factor&gt;"),E73,J28*$F28))</f>
        <v>9651.0149999999994</v>
      </c>
      <c r="I73" s="166">
        <f t="shared" ref="I73:I109" si="6">IF($F28="","",IF(OR(K28="",K28="&lt;enter factor&gt;"),F73,K28*$F28))</f>
        <v>181.875</v>
      </c>
      <c r="J73" s="262">
        <f t="shared" ref="J73:J109" si="7">IF($F28="","",IF(OR(L28="",L28="&lt;enter factor&gt;"),G73,L28*$F28))</f>
        <v>18.1875</v>
      </c>
      <c r="K73" s="230"/>
      <c r="L73" s="230"/>
      <c r="M73" s="230"/>
      <c r="N73" s="230"/>
      <c r="O73" s="230"/>
      <c r="P73" s="230"/>
      <c r="Q73" s="230"/>
      <c r="R73" s="230"/>
      <c r="S73" s="230"/>
      <c r="T73" s="230"/>
      <c r="U73" s="230"/>
      <c r="V73" s="230"/>
      <c r="W73" s="230"/>
      <c r="X73" s="230"/>
      <c r="Y73" s="230"/>
      <c r="Z73" s="230"/>
      <c r="AA73" s="230"/>
    </row>
    <row r="74" spans="1:28">
      <c r="A74" s="174" t="str">
        <f t="shared" si="0"/>
        <v/>
      </c>
      <c r="B74" s="163" t="str">
        <f t="shared" si="0"/>
        <v/>
      </c>
      <c r="C74" s="163" t="str">
        <f t="shared" si="1"/>
        <v/>
      </c>
      <c r="D74" s="164"/>
      <c r="E74" s="166" t="str">
        <f t="shared" si="4"/>
        <v/>
      </c>
      <c r="F74" s="166" t="str">
        <f t="shared" si="2"/>
        <v/>
      </c>
      <c r="G74" s="262" t="str">
        <f t="shared" si="3"/>
        <v/>
      </c>
      <c r="H74" s="948" t="str">
        <f t="shared" si="5"/>
        <v/>
      </c>
      <c r="I74" s="166" t="str">
        <f t="shared" si="6"/>
        <v/>
      </c>
      <c r="J74" s="262" t="str">
        <f t="shared" si="7"/>
        <v/>
      </c>
      <c r="K74" s="230"/>
      <c r="L74" s="230"/>
      <c r="M74" s="230"/>
      <c r="N74" s="230"/>
      <c r="O74" s="230"/>
      <c r="P74" s="230"/>
      <c r="Q74" s="230"/>
      <c r="R74" s="230"/>
      <c r="S74" s="230"/>
      <c r="T74" s="230"/>
      <c r="U74" s="230"/>
      <c r="V74" s="230"/>
      <c r="W74" s="230"/>
      <c r="X74" s="230"/>
      <c r="Y74" s="230"/>
      <c r="Z74" s="230"/>
      <c r="AA74" s="230"/>
    </row>
    <row r="75" spans="1:28">
      <c r="A75" s="174" t="str">
        <f t="shared" si="0"/>
        <v/>
      </c>
      <c r="B75" s="163" t="str">
        <f t="shared" si="0"/>
        <v/>
      </c>
      <c r="C75" s="163" t="str">
        <f t="shared" si="1"/>
        <v/>
      </c>
      <c r="D75" s="164"/>
      <c r="E75" s="166" t="str">
        <f t="shared" si="4"/>
        <v/>
      </c>
      <c r="F75" s="166" t="str">
        <f t="shared" si="2"/>
        <v/>
      </c>
      <c r="G75" s="262" t="str">
        <f t="shared" si="3"/>
        <v/>
      </c>
      <c r="H75" s="948" t="str">
        <f t="shared" si="5"/>
        <v/>
      </c>
      <c r="I75" s="166" t="str">
        <f t="shared" si="6"/>
        <v/>
      </c>
      <c r="J75" s="262" t="str">
        <f t="shared" si="7"/>
        <v/>
      </c>
      <c r="K75" s="230"/>
      <c r="L75" s="230"/>
      <c r="M75" s="230"/>
      <c r="N75" s="230"/>
      <c r="O75" s="230"/>
      <c r="P75" s="230"/>
      <c r="Q75" s="230"/>
      <c r="R75" s="230"/>
      <c r="S75" s="230"/>
      <c r="T75" s="230"/>
      <c r="U75" s="230"/>
      <c r="V75" s="230"/>
      <c r="W75" s="230"/>
      <c r="X75" s="230"/>
      <c r="Y75" s="230"/>
      <c r="Z75" s="230"/>
      <c r="AA75" s="230"/>
    </row>
    <row r="76" spans="1:28">
      <c r="A76" s="174" t="str">
        <f t="shared" si="0"/>
        <v/>
      </c>
      <c r="B76" s="163" t="str">
        <f t="shared" si="0"/>
        <v/>
      </c>
      <c r="C76" s="163" t="str">
        <f t="shared" si="1"/>
        <v/>
      </c>
      <c r="D76" s="164"/>
      <c r="E76" s="166" t="str">
        <f t="shared" si="4"/>
        <v/>
      </c>
      <c r="F76" s="166" t="str">
        <f t="shared" si="2"/>
        <v/>
      </c>
      <c r="G76" s="262" t="str">
        <f t="shared" si="3"/>
        <v/>
      </c>
      <c r="H76" s="948" t="str">
        <f t="shared" si="5"/>
        <v/>
      </c>
      <c r="I76" s="166" t="str">
        <f t="shared" si="6"/>
        <v/>
      </c>
      <c r="J76" s="262" t="str">
        <f t="shared" si="7"/>
        <v/>
      </c>
      <c r="K76" s="230"/>
      <c r="L76" s="230"/>
      <c r="M76" s="230"/>
      <c r="N76" s="230"/>
      <c r="O76" s="230"/>
      <c r="P76" s="230"/>
      <c r="Q76" s="230"/>
      <c r="R76" s="230"/>
      <c r="S76" s="230"/>
      <c r="T76" s="230"/>
      <c r="U76" s="230"/>
      <c r="V76" s="230"/>
      <c r="W76" s="230"/>
      <c r="X76" s="230"/>
      <c r="Y76" s="230"/>
      <c r="Z76" s="230"/>
      <c r="AA76" s="230"/>
    </row>
    <row r="77" spans="1:28">
      <c r="A77" s="174" t="str">
        <f t="shared" si="0"/>
        <v/>
      </c>
      <c r="B77" s="163" t="str">
        <f t="shared" si="0"/>
        <v/>
      </c>
      <c r="C77" s="163" t="str">
        <f t="shared" si="1"/>
        <v/>
      </c>
      <c r="D77" s="164"/>
      <c r="E77" s="166" t="str">
        <f t="shared" si="4"/>
        <v/>
      </c>
      <c r="F77" s="166" t="str">
        <f t="shared" si="2"/>
        <v/>
      </c>
      <c r="G77" s="262" t="str">
        <f t="shared" si="3"/>
        <v/>
      </c>
      <c r="H77" s="948" t="str">
        <f t="shared" si="5"/>
        <v/>
      </c>
      <c r="I77" s="166" t="str">
        <f t="shared" si="6"/>
        <v/>
      </c>
      <c r="J77" s="262" t="str">
        <f t="shared" si="7"/>
        <v/>
      </c>
      <c r="K77" s="230"/>
      <c r="L77" s="230"/>
      <c r="M77" s="230"/>
      <c r="N77" s="230"/>
      <c r="O77" s="230"/>
      <c r="P77" s="230"/>
      <c r="Q77" s="230"/>
      <c r="R77" s="230"/>
      <c r="S77" s="230"/>
      <c r="T77" s="230"/>
      <c r="U77" s="230"/>
      <c r="V77" s="230"/>
      <c r="W77" s="230"/>
      <c r="X77" s="230"/>
      <c r="Y77" s="230"/>
      <c r="Z77" s="230"/>
      <c r="AA77" s="230"/>
    </row>
    <row r="78" spans="1:28">
      <c r="A78" s="174" t="str">
        <f t="shared" si="0"/>
        <v/>
      </c>
      <c r="B78" s="163" t="str">
        <f t="shared" si="0"/>
        <v/>
      </c>
      <c r="C78" s="163" t="str">
        <f t="shared" si="1"/>
        <v/>
      </c>
      <c r="D78" s="164"/>
      <c r="E78" s="166" t="str">
        <f t="shared" si="4"/>
        <v/>
      </c>
      <c r="F78" s="166" t="str">
        <f t="shared" si="2"/>
        <v/>
      </c>
      <c r="G78" s="262" t="str">
        <f t="shared" si="3"/>
        <v/>
      </c>
      <c r="H78" s="948" t="str">
        <f t="shared" si="5"/>
        <v/>
      </c>
      <c r="I78" s="166" t="str">
        <f t="shared" si="6"/>
        <v/>
      </c>
      <c r="J78" s="262" t="str">
        <f t="shared" si="7"/>
        <v/>
      </c>
      <c r="K78" s="230"/>
      <c r="L78" s="230"/>
      <c r="M78" s="230"/>
      <c r="N78" s="230"/>
      <c r="O78" s="230"/>
      <c r="P78" s="230"/>
      <c r="Q78" s="230"/>
      <c r="R78" s="230"/>
      <c r="S78" s="230"/>
      <c r="T78" s="230"/>
      <c r="U78" s="230"/>
      <c r="V78" s="230"/>
      <c r="W78" s="230"/>
      <c r="X78" s="230"/>
      <c r="Y78" s="230"/>
      <c r="Z78" s="230"/>
      <c r="AA78" s="230"/>
    </row>
    <row r="79" spans="1:28">
      <c r="A79" s="174" t="str">
        <f t="shared" si="0"/>
        <v/>
      </c>
      <c r="B79" s="163" t="str">
        <f t="shared" si="0"/>
        <v/>
      </c>
      <c r="C79" s="163" t="str">
        <f t="shared" si="1"/>
        <v/>
      </c>
      <c r="D79" s="164"/>
      <c r="E79" s="166" t="str">
        <f t="shared" si="4"/>
        <v/>
      </c>
      <c r="F79" s="166" t="str">
        <f t="shared" si="2"/>
        <v/>
      </c>
      <c r="G79" s="262" t="str">
        <f t="shared" si="3"/>
        <v/>
      </c>
      <c r="H79" s="948" t="str">
        <f t="shared" si="5"/>
        <v/>
      </c>
      <c r="I79" s="166" t="str">
        <f t="shared" si="6"/>
        <v/>
      </c>
      <c r="J79" s="262" t="str">
        <f t="shared" si="7"/>
        <v/>
      </c>
      <c r="K79" s="230"/>
      <c r="L79" s="230"/>
      <c r="M79" s="230"/>
      <c r="N79" s="230"/>
      <c r="O79" s="230"/>
      <c r="P79" s="230"/>
      <c r="Q79" s="230"/>
      <c r="R79" s="230"/>
      <c r="S79" s="230"/>
      <c r="T79" s="230"/>
      <c r="U79" s="230"/>
      <c r="V79" s="230"/>
      <c r="W79" s="230"/>
      <c r="X79" s="230"/>
      <c r="Y79" s="230"/>
      <c r="Z79" s="230"/>
      <c r="AA79" s="230"/>
    </row>
    <row r="80" spans="1:28">
      <c r="A80" s="174" t="str">
        <f t="shared" si="0"/>
        <v/>
      </c>
      <c r="B80" s="163" t="str">
        <f t="shared" si="0"/>
        <v/>
      </c>
      <c r="C80" s="163" t="str">
        <f t="shared" si="1"/>
        <v/>
      </c>
      <c r="D80" s="164"/>
      <c r="E80" s="166" t="str">
        <f t="shared" si="4"/>
        <v/>
      </c>
      <c r="F80" s="166" t="str">
        <f t="shared" si="2"/>
        <v/>
      </c>
      <c r="G80" s="262" t="str">
        <f t="shared" si="3"/>
        <v/>
      </c>
      <c r="H80" s="948" t="str">
        <f t="shared" si="5"/>
        <v/>
      </c>
      <c r="I80" s="166" t="str">
        <f t="shared" si="6"/>
        <v/>
      </c>
      <c r="J80" s="262" t="str">
        <f t="shared" si="7"/>
        <v/>
      </c>
      <c r="K80" s="230"/>
      <c r="L80" s="230"/>
      <c r="M80" s="230"/>
      <c r="N80" s="230"/>
      <c r="O80" s="230"/>
      <c r="P80" s="230"/>
      <c r="Q80" s="230"/>
      <c r="R80" s="230"/>
      <c r="S80" s="230"/>
      <c r="T80" s="230"/>
      <c r="U80" s="230"/>
      <c r="V80" s="230"/>
      <c r="W80" s="230"/>
      <c r="X80" s="230"/>
      <c r="Y80" s="230"/>
      <c r="Z80" s="230"/>
      <c r="AA80" s="230"/>
    </row>
    <row r="81" spans="1:27">
      <c r="A81" s="174" t="str">
        <f t="shared" si="0"/>
        <v/>
      </c>
      <c r="B81" s="163" t="str">
        <f t="shared" si="0"/>
        <v/>
      </c>
      <c r="C81" s="163" t="str">
        <f t="shared" si="1"/>
        <v/>
      </c>
      <c r="D81" s="164"/>
      <c r="E81" s="166" t="str">
        <f t="shared" si="4"/>
        <v/>
      </c>
      <c r="F81" s="166" t="str">
        <f t="shared" si="2"/>
        <v/>
      </c>
      <c r="G81" s="262" t="str">
        <f t="shared" si="3"/>
        <v/>
      </c>
      <c r="H81" s="948" t="str">
        <f t="shared" si="5"/>
        <v/>
      </c>
      <c r="I81" s="166" t="str">
        <f t="shared" si="6"/>
        <v/>
      </c>
      <c r="J81" s="262" t="str">
        <f t="shared" si="7"/>
        <v/>
      </c>
      <c r="K81" s="230"/>
      <c r="L81" s="230"/>
      <c r="M81" s="230"/>
      <c r="N81" s="230"/>
      <c r="O81" s="230"/>
      <c r="P81" s="230"/>
      <c r="Q81" s="230"/>
      <c r="R81" s="230"/>
      <c r="S81" s="230"/>
      <c r="T81" s="230"/>
      <c r="U81" s="230"/>
      <c r="V81" s="230"/>
      <c r="W81" s="230"/>
      <c r="X81" s="230"/>
      <c r="Y81" s="230"/>
      <c r="Z81" s="230"/>
      <c r="AA81" s="230"/>
    </row>
    <row r="82" spans="1:27">
      <c r="A82" s="174" t="str">
        <f t="shared" si="0"/>
        <v/>
      </c>
      <c r="B82" s="163" t="str">
        <f t="shared" si="0"/>
        <v/>
      </c>
      <c r="C82" s="163" t="str">
        <f t="shared" si="1"/>
        <v/>
      </c>
      <c r="D82" s="164"/>
      <c r="E82" s="166" t="str">
        <f t="shared" si="4"/>
        <v/>
      </c>
      <c r="F82" s="166" t="str">
        <f t="shared" si="2"/>
        <v/>
      </c>
      <c r="G82" s="262" t="str">
        <f t="shared" si="3"/>
        <v/>
      </c>
      <c r="H82" s="948" t="str">
        <f t="shared" si="5"/>
        <v/>
      </c>
      <c r="I82" s="166" t="str">
        <f t="shared" si="6"/>
        <v/>
      </c>
      <c r="J82" s="262" t="str">
        <f t="shared" si="7"/>
        <v/>
      </c>
      <c r="K82" s="230"/>
      <c r="L82" s="230"/>
      <c r="M82" s="230"/>
      <c r="N82" s="230"/>
      <c r="O82" s="230"/>
      <c r="P82" s="230"/>
      <c r="Q82" s="230"/>
      <c r="R82" s="230"/>
      <c r="S82" s="230"/>
      <c r="T82" s="230"/>
      <c r="U82" s="230"/>
      <c r="V82" s="230"/>
      <c r="W82" s="230"/>
      <c r="X82" s="230"/>
      <c r="Y82" s="230"/>
      <c r="Z82" s="230"/>
      <c r="AA82" s="230"/>
    </row>
    <row r="83" spans="1:27">
      <c r="A83" s="174" t="str">
        <f t="shared" si="0"/>
        <v/>
      </c>
      <c r="B83" s="163" t="str">
        <f t="shared" si="0"/>
        <v/>
      </c>
      <c r="C83" s="163" t="str">
        <f t="shared" si="1"/>
        <v/>
      </c>
      <c r="D83" s="164"/>
      <c r="E83" s="166" t="str">
        <f t="shared" si="4"/>
        <v/>
      </c>
      <c r="F83" s="166" t="str">
        <f t="shared" si="2"/>
        <v/>
      </c>
      <c r="G83" s="262" t="str">
        <f t="shared" si="3"/>
        <v/>
      </c>
      <c r="H83" s="948" t="str">
        <f t="shared" si="5"/>
        <v/>
      </c>
      <c r="I83" s="166" t="str">
        <f t="shared" si="6"/>
        <v/>
      </c>
      <c r="J83" s="262" t="str">
        <f t="shared" si="7"/>
        <v/>
      </c>
      <c r="K83" s="230"/>
      <c r="L83" s="230"/>
      <c r="M83" s="230"/>
      <c r="N83" s="230"/>
      <c r="O83" s="230"/>
      <c r="P83" s="230"/>
      <c r="Q83" s="230"/>
      <c r="R83" s="230"/>
      <c r="S83" s="230"/>
      <c r="T83" s="230"/>
      <c r="U83" s="230"/>
      <c r="V83" s="230"/>
      <c r="W83" s="230"/>
      <c r="X83" s="230"/>
      <c r="Y83" s="230"/>
      <c r="Z83" s="230"/>
      <c r="AA83" s="230"/>
    </row>
    <row r="84" spans="1:27">
      <c r="A84" s="174" t="str">
        <f t="shared" si="0"/>
        <v/>
      </c>
      <c r="B84" s="163" t="str">
        <f t="shared" si="0"/>
        <v/>
      </c>
      <c r="C84" s="163" t="str">
        <f t="shared" si="1"/>
        <v/>
      </c>
      <c r="D84" s="164"/>
      <c r="E84" s="166" t="str">
        <f t="shared" si="4"/>
        <v/>
      </c>
      <c r="F84" s="166" t="str">
        <f t="shared" si="2"/>
        <v/>
      </c>
      <c r="G84" s="262" t="str">
        <f t="shared" si="3"/>
        <v/>
      </c>
      <c r="H84" s="948" t="str">
        <f t="shared" si="5"/>
        <v/>
      </c>
      <c r="I84" s="166" t="str">
        <f t="shared" si="6"/>
        <v/>
      </c>
      <c r="J84" s="262" t="str">
        <f t="shared" si="7"/>
        <v/>
      </c>
      <c r="K84" s="230"/>
      <c r="L84" s="230"/>
      <c r="M84" s="230"/>
      <c r="N84" s="230"/>
      <c r="O84" s="230"/>
      <c r="P84" s="230"/>
      <c r="Q84" s="230"/>
      <c r="R84" s="230"/>
      <c r="S84" s="230"/>
      <c r="T84" s="230"/>
      <c r="U84" s="230"/>
      <c r="V84" s="230"/>
      <c r="W84" s="230"/>
      <c r="X84" s="230"/>
      <c r="Y84" s="230"/>
      <c r="Z84" s="230"/>
      <c r="AA84" s="230"/>
    </row>
    <row r="85" spans="1:27">
      <c r="A85" s="174" t="str">
        <f t="shared" si="0"/>
        <v/>
      </c>
      <c r="B85" s="163" t="str">
        <f t="shared" si="0"/>
        <v/>
      </c>
      <c r="C85" s="163" t="str">
        <f t="shared" si="1"/>
        <v/>
      </c>
      <c r="D85" s="164"/>
      <c r="E85" s="166" t="str">
        <f t="shared" si="4"/>
        <v/>
      </c>
      <c r="F85" s="166" t="str">
        <f t="shared" si="2"/>
        <v/>
      </c>
      <c r="G85" s="262" t="str">
        <f t="shared" si="3"/>
        <v/>
      </c>
      <c r="H85" s="948" t="str">
        <f t="shared" si="5"/>
        <v/>
      </c>
      <c r="I85" s="166" t="str">
        <f t="shared" si="6"/>
        <v/>
      </c>
      <c r="J85" s="262" t="str">
        <f t="shared" si="7"/>
        <v/>
      </c>
      <c r="K85" s="230"/>
      <c r="L85" s="230"/>
      <c r="M85" s="230"/>
      <c r="N85" s="230"/>
      <c r="O85" s="230"/>
      <c r="P85" s="230"/>
      <c r="Q85" s="230"/>
      <c r="R85" s="230"/>
      <c r="S85" s="230"/>
      <c r="T85" s="230"/>
      <c r="U85" s="230"/>
      <c r="V85" s="230"/>
      <c r="W85" s="230"/>
      <c r="X85" s="230"/>
      <c r="Y85" s="230"/>
      <c r="Z85" s="230"/>
      <c r="AA85" s="230"/>
    </row>
    <row r="86" spans="1:27">
      <c r="A86" s="174" t="str">
        <f t="shared" si="0"/>
        <v/>
      </c>
      <c r="B86" s="163" t="str">
        <f t="shared" si="0"/>
        <v/>
      </c>
      <c r="C86" s="163" t="str">
        <f t="shared" si="1"/>
        <v/>
      </c>
      <c r="D86" s="164"/>
      <c r="E86" s="166" t="str">
        <f t="shared" si="4"/>
        <v/>
      </c>
      <c r="F86" s="166" t="str">
        <f t="shared" si="2"/>
        <v/>
      </c>
      <c r="G86" s="262" t="str">
        <f t="shared" si="3"/>
        <v/>
      </c>
      <c r="H86" s="948" t="str">
        <f t="shared" si="5"/>
        <v/>
      </c>
      <c r="I86" s="166" t="str">
        <f t="shared" si="6"/>
        <v/>
      </c>
      <c r="J86" s="262" t="str">
        <f t="shared" si="7"/>
        <v/>
      </c>
      <c r="K86" s="230"/>
      <c r="L86" s="230"/>
      <c r="M86" s="230"/>
      <c r="N86" s="230"/>
      <c r="O86" s="230"/>
      <c r="P86" s="230"/>
      <c r="Q86" s="230"/>
      <c r="R86" s="230"/>
      <c r="S86" s="230"/>
      <c r="T86" s="230"/>
      <c r="U86" s="230"/>
      <c r="V86" s="230"/>
      <c r="W86" s="230"/>
      <c r="X86" s="230"/>
      <c r="Y86" s="230"/>
      <c r="Z86" s="230"/>
      <c r="AA86" s="230"/>
    </row>
    <row r="87" spans="1:27">
      <c r="A87" s="174" t="str">
        <f t="shared" si="0"/>
        <v/>
      </c>
      <c r="B87" s="163" t="str">
        <f t="shared" si="0"/>
        <v/>
      </c>
      <c r="C87" s="163" t="str">
        <f t="shared" si="1"/>
        <v/>
      </c>
      <c r="D87" s="164"/>
      <c r="E87" s="166" t="str">
        <f t="shared" si="4"/>
        <v/>
      </c>
      <c r="F87" s="166" t="str">
        <f t="shared" si="2"/>
        <v/>
      </c>
      <c r="G87" s="262" t="str">
        <f t="shared" si="3"/>
        <v/>
      </c>
      <c r="H87" s="948" t="str">
        <f t="shared" si="5"/>
        <v/>
      </c>
      <c r="I87" s="166" t="str">
        <f t="shared" si="6"/>
        <v/>
      </c>
      <c r="J87" s="262" t="str">
        <f t="shared" si="7"/>
        <v/>
      </c>
      <c r="K87" s="230"/>
      <c r="L87" s="230"/>
      <c r="M87" s="230"/>
      <c r="N87" s="230"/>
      <c r="O87" s="230"/>
      <c r="P87" s="230"/>
      <c r="Q87" s="230"/>
      <c r="R87" s="230"/>
      <c r="S87" s="230"/>
      <c r="T87" s="230"/>
      <c r="U87" s="230"/>
      <c r="V87" s="230"/>
      <c r="W87" s="230"/>
      <c r="X87" s="230"/>
      <c r="Y87" s="230"/>
      <c r="Z87" s="230"/>
      <c r="AA87" s="230"/>
    </row>
    <row r="88" spans="1:27">
      <c r="A88" s="174" t="str">
        <f t="shared" si="0"/>
        <v/>
      </c>
      <c r="B88" s="163" t="str">
        <f t="shared" si="0"/>
        <v/>
      </c>
      <c r="C88" s="163" t="str">
        <f t="shared" si="1"/>
        <v/>
      </c>
      <c r="D88" s="164"/>
      <c r="E88" s="166" t="str">
        <f t="shared" si="4"/>
        <v/>
      </c>
      <c r="F88" s="166" t="str">
        <f t="shared" si="2"/>
        <v/>
      </c>
      <c r="G88" s="262" t="str">
        <f t="shared" si="3"/>
        <v/>
      </c>
      <c r="H88" s="948" t="str">
        <f t="shared" si="5"/>
        <v/>
      </c>
      <c r="I88" s="166" t="str">
        <f t="shared" si="6"/>
        <v/>
      </c>
      <c r="J88" s="262" t="str">
        <f t="shared" si="7"/>
        <v/>
      </c>
      <c r="K88" s="230"/>
      <c r="L88" s="230"/>
      <c r="M88" s="230"/>
      <c r="N88" s="230"/>
      <c r="O88" s="230"/>
      <c r="P88" s="230"/>
      <c r="Q88" s="230"/>
      <c r="R88" s="230"/>
      <c r="S88" s="230"/>
      <c r="T88" s="230"/>
      <c r="U88" s="230"/>
      <c r="V88" s="230"/>
      <c r="W88" s="230"/>
      <c r="X88" s="230"/>
      <c r="Y88" s="230"/>
      <c r="Z88" s="230"/>
      <c r="AA88" s="230"/>
    </row>
    <row r="89" spans="1:27">
      <c r="A89" s="174" t="str">
        <f t="shared" si="0"/>
        <v/>
      </c>
      <c r="B89" s="163" t="str">
        <f t="shared" si="0"/>
        <v/>
      </c>
      <c r="C89" s="163" t="str">
        <f t="shared" si="1"/>
        <v/>
      </c>
      <c r="D89" s="164"/>
      <c r="E89" s="166" t="str">
        <f t="shared" si="4"/>
        <v/>
      </c>
      <c r="F89" s="166" t="str">
        <f t="shared" si="2"/>
        <v/>
      </c>
      <c r="G89" s="262" t="str">
        <f t="shared" si="3"/>
        <v/>
      </c>
      <c r="H89" s="948" t="str">
        <f t="shared" si="5"/>
        <v/>
      </c>
      <c r="I89" s="166" t="str">
        <f t="shared" si="6"/>
        <v/>
      </c>
      <c r="J89" s="262" t="str">
        <f t="shared" si="7"/>
        <v/>
      </c>
      <c r="K89" s="230"/>
      <c r="L89" s="230"/>
      <c r="M89" s="230"/>
      <c r="N89" s="230"/>
      <c r="O89" s="230"/>
      <c r="P89" s="230"/>
      <c r="Q89" s="230"/>
      <c r="R89" s="230"/>
      <c r="S89" s="230"/>
      <c r="T89" s="230"/>
      <c r="U89" s="230"/>
      <c r="V89" s="230"/>
      <c r="W89" s="230"/>
      <c r="X89" s="230"/>
      <c r="Y89" s="230"/>
      <c r="Z89" s="230"/>
      <c r="AA89" s="230"/>
    </row>
    <row r="90" spans="1:27">
      <c r="A90" s="174" t="str">
        <f t="shared" si="0"/>
        <v/>
      </c>
      <c r="B90" s="163" t="str">
        <f t="shared" si="0"/>
        <v/>
      </c>
      <c r="C90" s="163" t="str">
        <f t="shared" si="1"/>
        <v/>
      </c>
      <c r="D90" s="164"/>
      <c r="E90" s="166" t="str">
        <f t="shared" si="4"/>
        <v/>
      </c>
      <c r="F90" s="166" t="str">
        <f t="shared" si="2"/>
        <v/>
      </c>
      <c r="G90" s="262" t="str">
        <f t="shared" si="3"/>
        <v/>
      </c>
      <c r="H90" s="948" t="str">
        <f t="shared" si="5"/>
        <v/>
      </c>
      <c r="I90" s="166" t="str">
        <f t="shared" si="6"/>
        <v/>
      </c>
      <c r="J90" s="262" t="str">
        <f t="shared" si="7"/>
        <v/>
      </c>
      <c r="K90" s="230"/>
      <c r="L90" s="230"/>
      <c r="M90" s="230"/>
      <c r="N90" s="230"/>
      <c r="O90" s="230"/>
      <c r="P90" s="230"/>
      <c r="Q90" s="230"/>
      <c r="R90" s="230"/>
      <c r="S90" s="230"/>
      <c r="T90" s="230"/>
      <c r="U90" s="230"/>
      <c r="V90" s="230"/>
      <c r="W90" s="230"/>
      <c r="X90" s="230"/>
      <c r="Y90" s="230"/>
      <c r="Z90" s="230"/>
      <c r="AA90" s="230"/>
    </row>
    <row r="91" spans="1:27">
      <c r="A91" s="174" t="str">
        <f t="shared" si="0"/>
        <v/>
      </c>
      <c r="B91" s="163" t="str">
        <f t="shared" si="0"/>
        <v/>
      </c>
      <c r="C91" s="163" t="str">
        <f t="shared" si="1"/>
        <v/>
      </c>
      <c r="D91" s="164"/>
      <c r="E91" s="166" t="str">
        <f t="shared" si="4"/>
        <v/>
      </c>
      <c r="F91" s="166" t="str">
        <f t="shared" si="2"/>
        <v/>
      </c>
      <c r="G91" s="262" t="str">
        <f t="shared" si="3"/>
        <v/>
      </c>
      <c r="H91" s="948" t="str">
        <f t="shared" si="5"/>
        <v/>
      </c>
      <c r="I91" s="166" t="str">
        <f t="shared" si="6"/>
        <v/>
      </c>
      <c r="J91" s="262" t="str">
        <f t="shared" si="7"/>
        <v/>
      </c>
      <c r="K91" s="230"/>
      <c r="L91" s="230"/>
      <c r="M91" s="230"/>
      <c r="N91" s="230"/>
      <c r="O91" s="230"/>
      <c r="P91" s="230"/>
      <c r="Q91" s="230"/>
      <c r="R91" s="230"/>
      <c r="S91" s="230"/>
      <c r="T91" s="230"/>
      <c r="U91" s="230"/>
      <c r="V91" s="230"/>
      <c r="W91" s="230"/>
      <c r="X91" s="230"/>
      <c r="Y91" s="230"/>
      <c r="Z91" s="230"/>
      <c r="AA91" s="230"/>
    </row>
    <row r="92" spans="1:27">
      <c r="A92" s="174" t="str">
        <f t="shared" ref="A92:B107" si="8">IF(A47="","",A47)</f>
        <v/>
      </c>
      <c r="B92" s="163" t="str">
        <f t="shared" si="8"/>
        <v/>
      </c>
      <c r="C92" s="163" t="str">
        <f t="shared" si="1"/>
        <v/>
      </c>
      <c r="D92" s="164"/>
      <c r="E92" s="166" t="str">
        <f t="shared" si="4"/>
        <v/>
      </c>
      <c r="F92" s="166" t="str">
        <f t="shared" si="2"/>
        <v/>
      </c>
      <c r="G92" s="262" t="str">
        <f t="shared" si="3"/>
        <v/>
      </c>
      <c r="H92" s="948" t="str">
        <f t="shared" si="5"/>
        <v/>
      </c>
      <c r="I92" s="166" t="str">
        <f t="shared" si="6"/>
        <v/>
      </c>
      <c r="J92" s="262" t="str">
        <f t="shared" si="7"/>
        <v/>
      </c>
      <c r="K92" s="230"/>
      <c r="L92" s="230"/>
      <c r="M92" s="230"/>
      <c r="N92" s="230"/>
      <c r="O92" s="230"/>
      <c r="P92" s="230"/>
      <c r="Q92" s="230"/>
      <c r="R92" s="230"/>
      <c r="S92" s="230"/>
      <c r="T92" s="230"/>
      <c r="U92" s="230"/>
      <c r="V92" s="230"/>
      <c r="W92" s="230"/>
      <c r="X92" s="230"/>
      <c r="Y92" s="230"/>
      <c r="Z92" s="230"/>
      <c r="AA92" s="230"/>
    </row>
    <row r="93" spans="1:27">
      <c r="A93" s="174" t="str">
        <f t="shared" si="8"/>
        <v/>
      </c>
      <c r="B93" s="163" t="str">
        <f t="shared" si="8"/>
        <v/>
      </c>
      <c r="C93" s="163" t="str">
        <f t="shared" si="1"/>
        <v/>
      </c>
      <c r="D93" s="164"/>
      <c r="E93" s="166" t="str">
        <f t="shared" si="4"/>
        <v/>
      </c>
      <c r="F93" s="166" t="str">
        <f t="shared" si="2"/>
        <v/>
      </c>
      <c r="G93" s="262" t="str">
        <f t="shared" si="3"/>
        <v/>
      </c>
      <c r="H93" s="948" t="str">
        <f t="shared" si="5"/>
        <v/>
      </c>
      <c r="I93" s="166" t="str">
        <f t="shared" si="6"/>
        <v/>
      </c>
      <c r="J93" s="262" t="str">
        <f t="shared" si="7"/>
        <v/>
      </c>
      <c r="K93" s="230"/>
      <c r="L93" s="230"/>
      <c r="M93" s="230"/>
      <c r="N93" s="230"/>
      <c r="O93" s="230"/>
      <c r="P93" s="230"/>
      <c r="Q93" s="230"/>
      <c r="R93" s="230"/>
      <c r="S93" s="230"/>
      <c r="T93" s="230"/>
      <c r="U93" s="230"/>
      <c r="V93" s="230"/>
      <c r="W93" s="230"/>
      <c r="X93" s="230"/>
      <c r="Y93" s="230"/>
      <c r="Z93" s="230"/>
      <c r="AA93" s="230"/>
    </row>
    <row r="94" spans="1:27">
      <c r="A94" s="174" t="str">
        <f t="shared" si="8"/>
        <v/>
      </c>
      <c r="B94" s="163" t="str">
        <f t="shared" si="8"/>
        <v/>
      </c>
      <c r="C94" s="163" t="str">
        <f t="shared" si="1"/>
        <v/>
      </c>
      <c r="D94" s="164"/>
      <c r="E94" s="166" t="str">
        <f t="shared" si="4"/>
        <v/>
      </c>
      <c r="F94" s="166" t="str">
        <f t="shared" si="2"/>
        <v/>
      </c>
      <c r="G94" s="262" t="str">
        <f t="shared" si="3"/>
        <v/>
      </c>
      <c r="H94" s="948" t="str">
        <f t="shared" si="5"/>
        <v/>
      </c>
      <c r="I94" s="166" t="str">
        <f t="shared" si="6"/>
        <v/>
      </c>
      <c r="J94" s="262" t="str">
        <f t="shared" si="7"/>
        <v/>
      </c>
      <c r="K94" s="230"/>
      <c r="L94" s="230"/>
      <c r="M94" s="230"/>
      <c r="N94" s="230"/>
      <c r="O94" s="230"/>
      <c r="P94" s="230"/>
      <c r="Q94" s="230"/>
      <c r="R94" s="230"/>
      <c r="S94" s="230"/>
      <c r="T94" s="230"/>
      <c r="U94" s="230"/>
      <c r="V94" s="230"/>
      <c r="W94" s="230"/>
      <c r="X94" s="230"/>
      <c r="Y94" s="230"/>
      <c r="Z94" s="230"/>
      <c r="AA94" s="230"/>
    </row>
    <row r="95" spans="1:27">
      <c r="A95" s="174" t="str">
        <f t="shared" si="8"/>
        <v/>
      </c>
      <c r="B95" s="163" t="str">
        <f t="shared" si="8"/>
        <v/>
      </c>
      <c r="C95" s="163" t="str">
        <f t="shared" si="1"/>
        <v/>
      </c>
      <c r="D95" s="164"/>
      <c r="E95" s="166" t="str">
        <f t="shared" si="4"/>
        <v/>
      </c>
      <c r="F95" s="166" t="str">
        <f t="shared" si="2"/>
        <v/>
      </c>
      <c r="G95" s="262" t="str">
        <f t="shared" si="3"/>
        <v/>
      </c>
      <c r="H95" s="948" t="str">
        <f t="shared" si="5"/>
        <v/>
      </c>
      <c r="I95" s="166" t="str">
        <f t="shared" si="6"/>
        <v/>
      </c>
      <c r="J95" s="262" t="str">
        <f t="shared" si="7"/>
        <v/>
      </c>
      <c r="K95" s="230"/>
      <c r="L95" s="230"/>
      <c r="M95" s="230"/>
      <c r="N95" s="230"/>
      <c r="O95" s="230"/>
      <c r="P95" s="230"/>
      <c r="Q95" s="230"/>
      <c r="R95" s="230"/>
      <c r="S95" s="230"/>
      <c r="T95" s="230"/>
      <c r="U95" s="230"/>
      <c r="V95" s="230"/>
      <c r="W95" s="230"/>
      <c r="X95" s="230"/>
      <c r="Y95" s="230"/>
      <c r="Z95" s="230"/>
      <c r="AA95" s="230"/>
    </row>
    <row r="96" spans="1:27">
      <c r="A96" s="174" t="str">
        <f t="shared" si="8"/>
        <v/>
      </c>
      <c r="B96" s="163" t="str">
        <f t="shared" si="8"/>
        <v/>
      </c>
      <c r="C96" s="163" t="str">
        <f t="shared" si="1"/>
        <v/>
      </c>
      <c r="D96" s="164"/>
      <c r="E96" s="166" t="str">
        <f t="shared" si="4"/>
        <v/>
      </c>
      <c r="F96" s="166" t="str">
        <f t="shared" si="2"/>
        <v/>
      </c>
      <c r="G96" s="262" t="str">
        <f t="shared" si="3"/>
        <v/>
      </c>
      <c r="H96" s="948" t="str">
        <f t="shared" si="5"/>
        <v/>
      </c>
      <c r="I96" s="166" t="str">
        <f t="shared" si="6"/>
        <v/>
      </c>
      <c r="J96" s="262" t="str">
        <f t="shared" si="7"/>
        <v/>
      </c>
      <c r="K96" s="230"/>
      <c r="L96" s="230"/>
      <c r="M96" s="230"/>
      <c r="N96" s="230"/>
      <c r="O96" s="230"/>
      <c r="P96" s="230"/>
      <c r="Q96" s="230"/>
      <c r="R96" s="230"/>
      <c r="S96" s="230"/>
      <c r="T96" s="230"/>
      <c r="U96" s="230"/>
      <c r="V96" s="230"/>
      <c r="W96" s="230"/>
      <c r="X96" s="230"/>
      <c r="Y96" s="230"/>
      <c r="Z96" s="230"/>
      <c r="AA96" s="230"/>
    </row>
    <row r="97" spans="1:27">
      <c r="A97" s="174" t="str">
        <f t="shared" si="8"/>
        <v/>
      </c>
      <c r="B97" s="163" t="str">
        <f t="shared" si="8"/>
        <v/>
      </c>
      <c r="C97" s="163" t="str">
        <f t="shared" si="1"/>
        <v/>
      </c>
      <c r="D97" s="164"/>
      <c r="E97" s="166" t="str">
        <f t="shared" si="4"/>
        <v/>
      </c>
      <c r="F97" s="166" t="str">
        <f t="shared" si="2"/>
        <v/>
      </c>
      <c r="G97" s="262" t="str">
        <f t="shared" si="3"/>
        <v/>
      </c>
      <c r="H97" s="948" t="str">
        <f t="shared" si="5"/>
        <v/>
      </c>
      <c r="I97" s="166" t="str">
        <f t="shared" si="6"/>
        <v/>
      </c>
      <c r="J97" s="262" t="str">
        <f t="shared" si="7"/>
        <v/>
      </c>
      <c r="K97" s="230"/>
      <c r="L97" s="230"/>
      <c r="M97" s="230"/>
      <c r="N97" s="230"/>
      <c r="O97" s="230"/>
      <c r="P97" s="230"/>
      <c r="Q97" s="230"/>
      <c r="R97" s="230"/>
      <c r="S97" s="230"/>
      <c r="T97" s="230"/>
      <c r="U97" s="230"/>
      <c r="V97" s="230"/>
      <c r="W97" s="230"/>
      <c r="X97" s="230"/>
      <c r="Y97" s="230"/>
      <c r="Z97" s="230"/>
      <c r="AA97" s="230"/>
    </row>
    <row r="98" spans="1:27">
      <c r="A98" s="174" t="str">
        <f t="shared" si="8"/>
        <v/>
      </c>
      <c r="B98" s="163" t="str">
        <f t="shared" si="8"/>
        <v/>
      </c>
      <c r="C98" s="163" t="str">
        <f t="shared" si="1"/>
        <v/>
      </c>
      <c r="D98" s="164"/>
      <c r="E98" s="166" t="str">
        <f t="shared" si="4"/>
        <v/>
      </c>
      <c r="F98" s="166" t="str">
        <f t="shared" si="2"/>
        <v/>
      </c>
      <c r="G98" s="262" t="str">
        <f t="shared" si="3"/>
        <v/>
      </c>
      <c r="H98" s="948" t="str">
        <f t="shared" si="5"/>
        <v/>
      </c>
      <c r="I98" s="166" t="str">
        <f t="shared" si="6"/>
        <v/>
      </c>
      <c r="J98" s="262" t="str">
        <f t="shared" si="7"/>
        <v/>
      </c>
      <c r="K98" s="230"/>
      <c r="L98" s="230"/>
      <c r="M98" s="230"/>
      <c r="N98" s="230"/>
      <c r="O98" s="230"/>
      <c r="P98" s="230"/>
      <c r="Q98" s="230"/>
      <c r="R98" s="230"/>
      <c r="S98" s="230"/>
      <c r="T98" s="230"/>
      <c r="U98" s="230"/>
      <c r="V98" s="230"/>
      <c r="W98" s="230"/>
      <c r="X98" s="230"/>
      <c r="Y98" s="230"/>
      <c r="Z98" s="230"/>
      <c r="AA98" s="230"/>
    </row>
    <row r="99" spans="1:27">
      <c r="A99" s="174" t="str">
        <f t="shared" si="8"/>
        <v/>
      </c>
      <c r="B99" s="163" t="str">
        <f t="shared" si="8"/>
        <v/>
      </c>
      <c r="C99" s="163" t="str">
        <f t="shared" si="1"/>
        <v/>
      </c>
      <c r="D99" s="164"/>
      <c r="E99" s="166" t="str">
        <f t="shared" si="4"/>
        <v/>
      </c>
      <c r="F99" s="166" t="str">
        <f t="shared" si="2"/>
        <v/>
      </c>
      <c r="G99" s="262" t="str">
        <f t="shared" si="3"/>
        <v/>
      </c>
      <c r="H99" s="948" t="str">
        <f t="shared" si="5"/>
        <v/>
      </c>
      <c r="I99" s="166" t="str">
        <f t="shared" si="6"/>
        <v/>
      </c>
      <c r="J99" s="262" t="str">
        <f t="shared" si="7"/>
        <v/>
      </c>
      <c r="K99" s="230"/>
      <c r="L99" s="230"/>
      <c r="M99" s="230"/>
      <c r="N99" s="230"/>
      <c r="O99" s="230"/>
      <c r="P99" s="230"/>
      <c r="Q99" s="230"/>
      <c r="R99" s="230"/>
      <c r="S99" s="230"/>
      <c r="T99" s="230"/>
      <c r="U99" s="230"/>
      <c r="V99" s="230"/>
      <c r="W99" s="230"/>
      <c r="X99" s="230"/>
      <c r="Y99" s="230"/>
      <c r="Z99" s="230"/>
      <c r="AA99" s="230"/>
    </row>
    <row r="100" spans="1:27">
      <c r="A100" s="174" t="str">
        <f t="shared" si="8"/>
        <v/>
      </c>
      <c r="B100" s="163" t="str">
        <f t="shared" si="8"/>
        <v/>
      </c>
      <c r="C100" s="163" t="str">
        <f t="shared" si="1"/>
        <v/>
      </c>
      <c r="D100" s="164"/>
      <c r="E100" s="166" t="str">
        <f t="shared" si="4"/>
        <v/>
      </c>
      <c r="F100" s="166" t="str">
        <f t="shared" si="2"/>
        <v/>
      </c>
      <c r="G100" s="262" t="str">
        <f t="shared" si="3"/>
        <v/>
      </c>
      <c r="H100" s="948" t="str">
        <f t="shared" si="5"/>
        <v/>
      </c>
      <c r="I100" s="166" t="str">
        <f t="shared" si="6"/>
        <v/>
      </c>
      <c r="J100" s="262" t="str">
        <f t="shared" si="7"/>
        <v/>
      </c>
      <c r="K100" s="230"/>
      <c r="L100" s="230"/>
      <c r="M100" s="230"/>
      <c r="N100" s="230"/>
      <c r="O100" s="230"/>
      <c r="P100" s="230"/>
      <c r="Q100" s="230"/>
      <c r="R100" s="230"/>
      <c r="S100" s="230"/>
      <c r="T100" s="230"/>
      <c r="U100" s="230"/>
      <c r="V100" s="230"/>
      <c r="W100" s="230"/>
      <c r="X100" s="230"/>
      <c r="Y100" s="230"/>
      <c r="Z100" s="230"/>
      <c r="AA100" s="230"/>
    </row>
    <row r="101" spans="1:27">
      <c r="A101" s="174" t="str">
        <f t="shared" si="8"/>
        <v/>
      </c>
      <c r="B101" s="163" t="str">
        <f t="shared" si="8"/>
        <v/>
      </c>
      <c r="C101" s="163" t="str">
        <f t="shared" si="1"/>
        <v/>
      </c>
      <c r="D101" s="164"/>
      <c r="E101" s="166" t="str">
        <f t="shared" si="4"/>
        <v/>
      </c>
      <c r="F101" s="166" t="str">
        <f t="shared" si="2"/>
        <v/>
      </c>
      <c r="G101" s="262" t="str">
        <f t="shared" si="3"/>
        <v/>
      </c>
      <c r="H101" s="948" t="str">
        <f t="shared" si="5"/>
        <v/>
      </c>
      <c r="I101" s="166" t="str">
        <f t="shared" si="6"/>
        <v/>
      </c>
      <c r="J101" s="262" t="str">
        <f t="shared" si="7"/>
        <v/>
      </c>
      <c r="K101" s="230"/>
      <c r="L101" s="230"/>
      <c r="M101" s="230"/>
      <c r="N101" s="230"/>
      <c r="O101" s="230"/>
      <c r="P101" s="230"/>
      <c r="Q101" s="230"/>
      <c r="R101" s="230"/>
      <c r="S101" s="230"/>
      <c r="T101" s="230"/>
      <c r="U101" s="230"/>
      <c r="V101" s="230"/>
      <c r="W101" s="230"/>
      <c r="X101" s="230"/>
      <c r="Y101" s="230"/>
      <c r="Z101" s="230"/>
      <c r="AA101" s="230"/>
    </row>
    <row r="102" spans="1:27">
      <c r="A102" s="174" t="str">
        <f t="shared" si="8"/>
        <v/>
      </c>
      <c r="B102" s="163" t="str">
        <f t="shared" si="8"/>
        <v/>
      </c>
      <c r="C102" s="163" t="str">
        <f t="shared" si="1"/>
        <v/>
      </c>
      <c r="D102" s="164"/>
      <c r="E102" s="166" t="str">
        <f t="shared" si="4"/>
        <v/>
      </c>
      <c r="F102" s="166" t="str">
        <f t="shared" si="2"/>
        <v/>
      </c>
      <c r="G102" s="262" t="str">
        <f t="shared" si="3"/>
        <v/>
      </c>
      <c r="H102" s="948" t="str">
        <f t="shared" si="5"/>
        <v/>
      </c>
      <c r="I102" s="166" t="str">
        <f t="shared" si="6"/>
        <v/>
      </c>
      <c r="J102" s="262" t="str">
        <f t="shared" si="7"/>
        <v/>
      </c>
      <c r="K102" s="230"/>
      <c r="L102" s="230"/>
      <c r="M102" s="230"/>
      <c r="N102" s="230"/>
      <c r="O102" s="230"/>
      <c r="P102" s="230"/>
      <c r="Q102" s="230"/>
      <c r="R102" s="230"/>
      <c r="S102" s="230"/>
      <c r="T102" s="230"/>
      <c r="U102" s="230"/>
      <c r="V102" s="230"/>
      <c r="W102" s="230"/>
      <c r="X102" s="230"/>
      <c r="Y102" s="230"/>
      <c r="Z102" s="230"/>
      <c r="AA102" s="230"/>
    </row>
    <row r="103" spans="1:27">
      <c r="A103" s="174" t="str">
        <f t="shared" si="8"/>
        <v/>
      </c>
      <c r="B103" s="163" t="str">
        <f t="shared" si="8"/>
        <v/>
      </c>
      <c r="C103" s="163" t="str">
        <f t="shared" si="1"/>
        <v/>
      </c>
      <c r="D103" s="164"/>
      <c r="E103" s="166" t="str">
        <f t="shared" si="4"/>
        <v/>
      </c>
      <c r="F103" s="166" t="str">
        <f t="shared" si="2"/>
        <v/>
      </c>
      <c r="G103" s="262" t="str">
        <f t="shared" si="3"/>
        <v/>
      </c>
      <c r="H103" s="948" t="str">
        <f t="shared" si="5"/>
        <v/>
      </c>
      <c r="I103" s="166" t="str">
        <f t="shared" si="6"/>
        <v/>
      </c>
      <c r="J103" s="262" t="str">
        <f t="shared" si="7"/>
        <v/>
      </c>
      <c r="K103" s="230"/>
      <c r="L103" s="230"/>
      <c r="M103" s="230"/>
      <c r="N103" s="230"/>
      <c r="O103" s="230"/>
      <c r="P103" s="230"/>
      <c r="Q103" s="230"/>
      <c r="R103" s="230"/>
      <c r="S103" s="230"/>
      <c r="T103" s="230"/>
      <c r="U103" s="230"/>
      <c r="V103" s="230"/>
      <c r="W103" s="230"/>
      <c r="X103" s="230"/>
      <c r="Y103" s="230"/>
      <c r="Z103" s="230"/>
      <c r="AA103" s="230"/>
    </row>
    <row r="104" spans="1:27">
      <c r="A104" s="174" t="str">
        <f t="shared" si="8"/>
        <v/>
      </c>
      <c r="B104" s="163" t="str">
        <f t="shared" si="8"/>
        <v/>
      </c>
      <c r="C104" s="163" t="str">
        <f t="shared" si="1"/>
        <v/>
      </c>
      <c r="D104" s="164"/>
      <c r="E104" s="166" t="str">
        <f t="shared" si="4"/>
        <v/>
      </c>
      <c r="F104" s="166" t="str">
        <f t="shared" si="2"/>
        <v/>
      </c>
      <c r="G104" s="262" t="str">
        <f t="shared" si="3"/>
        <v/>
      </c>
      <c r="H104" s="948" t="str">
        <f t="shared" si="5"/>
        <v/>
      </c>
      <c r="I104" s="166" t="str">
        <f t="shared" si="6"/>
        <v/>
      </c>
      <c r="J104" s="262" t="str">
        <f t="shared" si="7"/>
        <v/>
      </c>
      <c r="K104" s="230"/>
      <c r="L104" s="230"/>
      <c r="M104" s="230"/>
      <c r="N104" s="230"/>
      <c r="O104" s="230"/>
      <c r="P104" s="230"/>
      <c r="Q104" s="230"/>
      <c r="R104" s="230"/>
      <c r="S104" s="230"/>
      <c r="T104" s="230"/>
      <c r="U104" s="230"/>
      <c r="V104" s="230"/>
      <c r="W104" s="230"/>
      <c r="X104" s="230"/>
      <c r="Y104" s="230"/>
      <c r="Z104" s="230"/>
      <c r="AA104" s="230"/>
    </row>
    <row r="105" spans="1:27">
      <c r="A105" s="174" t="str">
        <f t="shared" si="8"/>
        <v/>
      </c>
      <c r="B105" s="163" t="str">
        <f t="shared" si="8"/>
        <v/>
      </c>
      <c r="C105" s="163" t="str">
        <f t="shared" si="1"/>
        <v/>
      </c>
      <c r="D105" s="164"/>
      <c r="E105" s="166" t="str">
        <f t="shared" si="4"/>
        <v/>
      </c>
      <c r="F105" s="166" t="str">
        <f t="shared" si="2"/>
        <v/>
      </c>
      <c r="G105" s="262" t="str">
        <f t="shared" si="3"/>
        <v/>
      </c>
      <c r="H105" s="948" t="str">
        <f t="shared" si="5"/>
        <v/>
      </c>
      <c r="I105" s="166" t="str">
        <f t="shared" si="6"/>
        <v/>
      </c>
      <c r="J105" s="262" t="str">
        <f t="shared" si="7"/>
        <v/>
      </c>
      <c r="K105" s="230"/>
      <c r="L105" s="230"/>
      <c r="M105" s="230"/>
      <c r="N105" s="230"/>
      <c r="O105" s="230"/>
      <c r="P105" s="230"/>
      <c r="Q105" s="230"/>
      <c r="R105" s="230"/>
      <c r="S105" s="230"/>
      <c r="T105" s="230"/>
      <c r="U105" s="230"/>
      <c r="V105" s="230"/>
      <c r="W105" s="230"/>
      <c r="X105" s="230"/>
      <c r="Y105" s="230"/>
      <c r="Z105" s="230"/>
      <c r="AA105" s="230"/>
    </row>
    <row r="106" spans="1:27">
      <c r="A106" s="174" t="str">
        <f t="shared" si="8"/>
        <v/>
      </c>
      <c r="B106" s="163" t="str">
        <f t="shared" si="8"/>
        <v/>
      </c>
      <c r="C106" s="163" t="str">
        <f t="shared" si="1"/>
        <v/>
      </c>
      <c r="D106" s="164"/>
      <c r="E106" s="166" t="str">
        <f t="shared" si="4"/>
        <v/>
      </c>
      <c r="F106" s="166" t="str">
        <f t="shared" si="2"/>
        <v/>
      </c>
      <c r="G106" s="262" t="str">
        <f t="shared" si="3"/>
        <v/>
      </c>
      <c r="H106" s="948" t="str">
        <f t="shared" si="5"/>
        <v/>
      </c>
      <c r="I106" s="166" t="str">
        <f t="shared" si="6"/>
        <v/>
      </c>
      <c r="J106" s="262" t="str">
        <f t="shared" si="7"/>
        <v/>
      </c>
      <c r="K106" s="230"/>
      <c r="L106" s="230"/>
      <c r="M106" s="230"/>
      <c r="N106" s="230"/>
      <c r="O106" s="230"/>
      <c r="P106" s="230"/>
      <c r="Q106" s="230"/>
      <c r="R106" s="230"/>
      <c r="S106" s="230"/>
      <c r="T106" s="230"/>
      <c r="U106" s="230"/>
      <c r="V106" s="230"/>
      <c r="W106" s="230"/>
      <c r="X106" s="230"/>
      <c r="Y106" s="230"/>
      <c r="Z106" s="230"/>
      <c r="AA106" s="230"/>
    </row>
    <row r="107" spans="1:27">
      <c r="A107" s="174" t="str">
        <f t="shared" si="8"/>
        <v/>
      </c>
      <c r="B107" s="163" t="str">
        <f t="shared" si="8"/>
        <v/>
      </c>
      <c r="C107" s="163" t="str">
        <f t="shared" si="1"/>
        <v/>
      </c>
      <c r="D107" s="164"/>
      <c r="E107" s="166" t="str">
        <f t="shared" si="4"/>
        <v/>
      </c>
      <c r="F107" s="166" t="str">
        <f t="shared" si="2"/>
        <v/>
      </c>
      <c r="G107" s="262" t="str">
        <f t="shared" si="3"/>
        <v/>
      </c>
      <c r="H107" s="948" t="str">
        <f t="shared" si="5"/>
        <v/>
      </c>
      <c r="I107" s="166" t="str">
        <f t="shared" si="6"/>
        <v/>
      </c>
      <c r="J107" s="262" t="str">
        <f t="shared" si="7"/>
        <v/>
      </c>
      <c r="K107" s="230"/>
      <c r="L107" s="230"/>
      <c r="M107" s="230"/>
      <c r="N107" s="230"/>
      <c r="O107" s="230"/>
      <c r="P107" s="230"/>
      <c r="Q107" s="230"/>
      <c r="R107" s="230"/>
      <c r="S107" s="230"/>
      <c r="T107" s="230"/>
      <c r="U107" s="230"/>
      <c r="V107" s="230"/>
      <c r="W107" s="230"/>
      <c r="X107" s="230"/>
      <c r="Y107" s="230"/>
      <c r="Z107" s="230"/>
      <c r="AA107" s="230"/>
    </row>
    <row r="108" spans="1:27">
      <c r="A108" s="174" t="str">
        <f>IF(A63="","",A63)</f>
        <v/>
      </c>
      <c r="B108" s="163" t="str">
        <f>IF(B63="","",B63)</f>
        <v/>
      </c>
      <c r="C108" s="163" t="str">
        <f t="shared" si="1"/>
        <v/>
      </c>
      <c r="D108" s="164"/>
      <c r="E108" s="166" t="str">
        <f t="shared" si="4"/>
        <v/>
      </c>
      <c r="F108" s="166" t="str">
        <f t="shared" si="2"/>
        <v/>
      </c>
      <c r="G108" s="262" t="str">
        <f t="shared" si="3"/>
        <v/>
      </c>
      <c r="H108" s="948" t="str">
        <f t="shared" si="5"/>
        <v/>
      </c>
      <c r="I108" s="166" t="str">
        <f t="shared" si="6"/>
        <v/>
      </c>
      <c r="J108" s="262" t="str">
        <f t="shared" si="7"/>
        <v/>
      </c>
      <c r="K108" s="230"/>
      <c r="L108" s="230"/>
      <c r="M108" s="230"/>
      <c r="N108" s="230"/>
      <c r="O108" s="230"/>
      <c r="P108" s="230"/>
      <c r="Q108" s="230"/>
      <c r="R108" s="230"/>
      <c r="S108" s="230"/>
      <c r="T108" s="230"/>
      <c r="U108" s="230"/>
      <c r="V108" s="230"/>
      <c r="W108" s="230"/>
      <c r="X108" s="230"/>
      <c r="Y108" s="230"/>
      <c r="Z108" s="230"/>
      <c r="AA108" s="230"/>
    </row>
    <row r="109" spans="1:27" ht="13.5" thickBot="1">
      <c r="A109" s="175" t="str">
        <f>IF(A64="","",A64)</f>
        <v/>
      </c>
      <c r="B109" s="176" t="str">
        <f>IF(B64="","",B64)</f>
        <v/>
      </c>
      <c r="C109" s="176" t="str">
        <f t="shared" si="1"/>
        <v/>
      </c>
      <c r="D109" s="177"/>
      <c r="E109" s="813" t="str">
        <f t="shared" si="4"/>
        <v/>
      </c>
      <c r="F109" s="813" t="str">
        <f t="shared" si="2"/>
        <v/>
      </c>
      <c r="G109" s="814" t="str">
        <f t="shared" si="3"/>
        <v/>
      </c>
      <c r="H109" s="949" t="str">
        <f t="shared" si="5"/>
        <v/>
      </c>
      <c r="I109" s="950" t="str">
        <f t="shared" si="6"/>
        <v/>
      </c>
      <c r="J109" s="951" t="str">
        <f t="shared" si="7"/>
        <v/>
      </c>
      <c r="K109" s="230"/>
      <c r="L109" s="230"/>
      <c r="M109" s="230"/>
      <c r="N109" s="230"/>
      <c r="O109" s="230"/>
      <c r="P109" s="230"/>
      <c r="Q109" s="230"/>
      <c r="R109" s="230"/>
      <c r="S109" s="230"/>
      <c r="T109" s="230"/>
      <c r="U109" s="230"/>
      <c r="V109" s="230"/>
      <c r="W109" s="230"/>
      <c r="X109" s="230"/>
      <c r="Y109" s="230"/>
      <c r="Z109" s="230"/>
      <c r="AA109" s="230"/>
    </row>
    <row r="110" spans="1:27" ht="13.5" thickBot="1">
      <c r="A110" s="167" t="s">
        <v>80</v>
      </c>
      <c r="B110" s="168"/>
      <c r="C110" s="168"/>
      <c r="D110" s="169"/>
      <c r="E110" s="811">
        <f t="shared" ref="E110:J110" si="9">SUM(E72:E109)</f>
        <v>22983.345000000001</v>
      </c>
      <c r="F110" s="811">
        <f t="shared" si="9"/>
        <v>433.125</v>
      </c>
      <c r="G110" s="812">
        <f t="shared" si="9"/>
        <v>43.3125</v>
      </c>
      <c r="H110" s="809">
        <f t="shared" si="9"/>
        <v>22983.345000000001</v>
      </c>
      <c r="I110" s="809">
        <f t="shared" si="9"/>
        <v>433.125</v>
      </c>
      <c r="J110" s="810">
        <f t="shared" si="9"/>
        <v>43.3125</v>
      </c>
      <c r="K110" s="230"/>
      <c r="L110" s="230"/>
      <c r="M110" s="230"/>
      <c r="N110" s="230"/>
      <c r="O110" s="230"/>
      <c r="P110" s="230"/>
      <c r="Q110" s="230"/>
      <c r="R110" s="230"/>
      <c r="S110" s="230"/>
      <c r="T110" s="230"/>
      <c r="U110" s="230"/>
      <c r="V110" s="230"/>
      <c r="W110" s="230"/>
      <c r="X110" s="230"/>
      <c r="Y110" s="230"/>
      <c r="Z110" s="230"/>
      <c r="AA110" s="230"/>
    </row>
    <row r="111" spans="1:27" ht="13.5" thickBot="1">
      <c r="A111" s="10"/>
      <c r="B111" s="10"/>
      <c r="C111" s="10"/>
      <c r="D111" s="10"/>
      <c r="E111" s="10"/>
      <c r="F111" s="10"/>
      <c r="G111" s="10"/>
      <c r="H111" s="10"/>
      <c r="I111" s="230"/>
      <c r="J111" s="230"/>
      <c r="K111" s="230"/>
      <c r="L111" s="230"/>
      <c r="M111" s="230"/>
      <c r="N111" s="230"/>
      <c r="O111" s="230"/>
      <c r="P111" s="230"/>
      <c r="Q111" s="230"/>
      <c r="R111" s="230"/>
      <c r="S111" s="230"/>
      <c r="T111" s="230"/>
      <c r="U111" s="230"/>
      <c r="V111" s="230"/>
      <c r="W111" s="230"/>
      <c r="X111" s="230"/>
      <c r="Y111" s="230"/>
      <c r="Z111" s="230"/>
      <c r="AA111" s="230"/>
    </row>
    <row r="112" spans="1:27" ht="15" thickBot="1">
      <c r="A112" s="789" t="s">
        <v>924</v>
      </c>
      <c r="B112" s="790"/>
      <c r="C112" s="790"/>
      <c r="D112" s="790"/>
      <c r="E112" s="790"/>
      <c r="F112" s="815"/>
      <c r="G112" s="10"/>
      <c r="H112" s="10"/>
      <c r="I112" s="230"/>
      <c r="J112" s="230"/>
      <c r="K112" s="230"/>
      <c r="L112" s="230"/>
      <c r="M112" s="230"/>
      <c r="N112" s="230"/>
      <c r="O112" s="230"/>
      <c r="P112" s="230"/>
      <c r="Q112" s="230"/>
      <c r="R112" s="230"/>
      <c r="S112" s="230"/>
      <c r="T112" s="230"/>
      <c r="U112" s="230"/>
      <c r="V112" s="230"/>
      <c r="W112" s="230"/>
      <c r="X112" s="230"/>
      <c r="Y112" s="230"/>
      <c r="Z112" s="230"/>
      <c r="AA112" s="230"/>
    </row>
    <row r="113" spans="1:27" ht="13.5" thickTop="1">
      <c r="A113" s="792" t="s">
        <v>925</v>
      </c>
      <c r="B113" s="787"/>
      <c r="C113" s="787"/>
      <c r="D113" s="787"/>
      <c r="E113" s="319"/>
      <c r="F113" s="800">
        <f>($E$110+$F$110*CH4_GWP/1000+$G$110*N2O_GWP/1000)/1000</f>
        <v>23.007080250000001</v>
      </c>
      <c r="G113" s="10"/>
      <c r="H113" s="10"/>
      <c r="I113" s="465"/>
      <c r="J113" s="230"/>
      <c r="K113" s="230"/>
      <c r="L113" s="230"/>
      <c r="M113" s="230"/>
      <c r="N113" s="230"/>
      <c r="O113" s="230"/>
      <c r="P113" s="230"/>
      <c r="Q113" s="230"/>
      <c r="R113" s="230"/>
      <c r="S113" s="230"/>
      <c r="T113" s="230"/>
      <c r="U113" s="230"/>
      <c r="V113" s="230"/>
      <c r="W113" s="230"/>
      <c r="X113" s="230"/>
      <c r="Y113" s="230"/>
      <c r="Z113" s="230"/>
      <c r="AA113" s="230"/>
    </row>
    <row r="114" spans="1:27" ht="13.5" thickBot="1">
      <c r="A114" s="793" t="s">
        <v>926</v>
      </c>
      <c r="B114" s="788"/>
      <c r="C114" s="788"/>
      <c r="D114" s="788"/>
      <c r="E114" s="310"/>
      <c r="F114" s="801">
        <f>($H$110+$I$110*CH4_GWP/1000+$J$110*N2O_GWP/1000)/1000</f>
        <v>23.007080250000001</v>
      </c>
      <c r="G114" s="10"/>
      <c r="H114" s="10"/>
      <c r="I114" s="230"/>
      <c r="J114" s="230"/>
      <c r="K114" s="230"/>
      <c r="L114" s="230"/>
      <c r="M114" s="230"/>
      <c r="N114" s="230"/>
      <c r="O114" s="230"/>
      <c r="P114" s="230"/>
      <c r="Q114" s="230"/>
      <c r="R114" s="230"/>
      <c r="S114" s="230"/>
      <c r="T114" s="230"/>
      <c r="U114" s="230"/>
      <c r="V114" s="230"/>
      <c r="W114" s="230"/>
      <c r="X114" s="230"/>
      <c r="Y114" s="230"/>
      <c r="Z114" s="230"/>
      <c r="AA114" s="230"/>
    </row>
    <row r="115" spans="1:27">
      <c r="A115" s="10"/>
      <c r="B115" s="10"/>
      <c r="C115" s="10"/>
      <c r="D115" s="10"/>
      <c r="E115" s="10"/>
      <c r="F115" s="10"/>
      <c r="G115" s="10"/>
      <c r="H115" s="10"/>
      <c r="I115" s="465"/>
      <c r="J115" s="230"/>
      <c r="K115" s="230"/>
      <c r="L115" s="230"/>
      <c r="M115" s="230"/>
      <c r="N115" s="230"/>
      <c r="O115" s="230"/>
      <c r="P115" s="230"/>
      <c r="Q115" s="230"/>
      <c r="R115" s="230"/>
      <c r="S115" s="230"/>
      <c r="T115" s="230"/>
      <c r="U115" s="230"/>
      <c r="V115" s="230"/>
      <c r="W115" s="230"/>
      <c r="X115" s="230"/>
      <c r="Y115" s="230"/>
      <c r="Z115" s="230"/>
      <c r="AA115" s="230"/>
    </row>
    <row r="116" spans="1:27">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row>
    <row r="117" spans="1:27">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row>
    <row r="118" spans="1:27">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row>
    <row r="119" spans="1:27">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row>
    <row r="120" spans="1:27">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row>
    <row r="121" spans="1:27">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row>
    <row r="122" spans="1:27">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row>
    <row r="123" spans="1:27">
      <c r="A123" s="466"/>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row>
    <row r="124" spans="1:27" s="8" customFormat="1">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row>
    <row r="125" spans="1:27" s="8" customFormat="1">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row>
    <row r="126" spans="1:27" s="8" customFormat="1">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row>
    <row r="127" spans="1:27">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row>
    <row r="128" spans="1:27">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row>
    <row r="129" spans="1:27">
      <c r="A129" s="230"/>
      <c r="B129" s="230"/>
      <c r="C129" s="230"/>
      <c r="D129" s="230"/>
      <c r="E129" s="230"/>
      <c r="F129" s="230"/>
      <c r="G129" s="230"/>
      <c r="H129" s="230"/>
      <c r="I129" s="324"/>
      <c r="J129" s="230"/>
      <c r="K129" s="230"/>
      <c r="L129" s="230"/>
      <c r="M129" s="230"/>
      <c r="N129" s="230"/>
      <c r="O129" s="230"/>
      <c r="P129" s="230"/>
      <c r="Q129" s="230"/>
      <c r="R129" s="230"/>
      <c r="S129" s="230"/>
      <c r="T129" s="230"/>
      <c r="U129" s="230"/>
      <c r="V129" s="230"/>
      <c r="W129" s="230"/>
      <c r="X129" s="230"/>
      <c r="Y129" s="230"/>
      <c r="Z129" s="230"/>
      <c r="AA129" s="230"/>
    </row>
    <row r="130" spans="1:27">
      <c r="A130" s="230"/>
      <c r="B130" s="230"/>
      <c r="C130" s="230"/>
      <c r="D130" s="230"/>
      <c r="E130" s="230"/>
      <c r="F130" s="230"/>
      <c r="G130" s="230"/>
      <c r="H130" s="230"/>
      <c r="I130" s="324"/>
      <c r="J130" s="230"/>
      <c r="K130" s="230"/>
      <c r="L130" s="230"/>
      <c r="M130" s="230"/>
      <c r="N130" s="230"/>
      <c r="O130" s="230"/>
      <c r="P130" s="230"/>
      <c r="Q130" s="230"/>
      <c r="R130" s="230"/>
      <c r="S130" s="230"/>
      <c r="T130" s="230"/>
      <c r="U130" s="230"/>
      <c r="V130" s="230"/>
      <c r="W130" s="230"/>
      <c r="X130" s="230"/>
      <c r="Y130" s="230"/>
      <c r="Z130" s="230"/>
      <c r="AA130" s="230"/>
    </row>
    <row r="131" spans="1:27">
      <c r="A131" s="230"/>
      <c r="B131" s="230"/>
      <c r="C131" s="230"/>
      <c r="D131" s="230"/>
      <c r="E131" s="230"/>
      <c r="F131" s="230"/>
      <c r="G131" s="230"/>
      <c r="H131" s="230"/>
      <c r="I131" s="324"/>
      <c r="J131" s="230"/>
      <c r="K131" s="230"/>
      <c r="L131" s="230"/>
      <c r="M131" s="230"/>
      <c r="N131" s="230"/>
      <c r="O131" s="230"/>
      <c r="P131" s="230"/>
      <c r="Q131" s="230"/>
      <c r="R131" s="230"/>
      <c r="S131" s="230"/>
      <c r="T131" s="230"/>
      <c r="U131" s="230"/>
      <c r="V131" s="230"/>
      <c r="W131" s="230"/>
      <c r="X131" s="230"/>
      <c r="Y131" s="230"/>
      <c r="Z131" s="230"/>
      <c r="AA131" s="230"/>
    </row>
    <row r="132" spans="1:27">
      <c r="A132" s="230"/>
      <c r="B132" s="230"/>
      <c r="C132" s="230"/>
      <c r="D132" s="230"/>
      <c r="E132" s="230"/>
      <c r="F132" s="230"/>
      <c r="G132" s="230"/>
      <c r="H132" s="230"/>
      <c r="I132" s="324"/>
      <c r="J132" s="230"/>
      <c r="K132" s="230"/>
      <c r="L132" s="230"/>
      <c r="M132" s="230"/>
      <c r="N132" s="230"/>
      <c r="O132" s="230"/>
      <c r="P132" s="230"/>
      <c r="Q132" s="230"/>
      <c r="R132" s="230"/>
      <c r="S132" s="230"/>
      <c r="T132" s="230"/>
      <c r="U132" s="230"/>
      <c r="V132" s="230"/>
      <c r="W132" s="230"/>
      <c r="X132" s="230"/>
      <c r="Y132" s="230"/>
      <c r="Z132" s="230"/>
      <c r="AA132" s="230"/>
    </row>
    <row r="133" spans="1:27">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row>
    <row r="134" spans="1:27">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row>
    <row r="135" spans="1:27">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row>
    <row r="136" spans="1:27">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row>
    <row r="137" spans="1:27">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row>
    <row r="138" spans="1:27">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row>
    <row r="139" spans="1:27">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row>
    <row r="140" spans="1:27">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row>
    <row r="141" spans="1:27">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row>
    <row r="142" spans="1:27">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row>
    <row r="143" spans="1:27">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row>
    <row r="144" spans="1:27">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row>
    <row r="145" spans="1:27">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row>
    <row r="146" spans="1:27">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row>
    <row r="147" spans="1:27">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row>
    <row r="148" spans="1:27">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row>
    <row r="149" spans="1:27">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row>
    <row r="150" spans="1:27">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row>
    <row r="151" spans="1:27">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row>
    <row r="152" spans="1:27">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row>
    <row r="153" spans="1:27">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row>
    <row r="154" spans="1:27">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row>
    <row r="155" spans="1:27">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row>
    <row r="156" spans="1:27">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row>
    <row r="157" spans="1:27">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row>
    <row r="158" spans="1:27">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row>
    <row r="159" spans="1:27">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row>
    <row r="160" spans="1:27">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row>
    <row r="161" spans="1:27">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row>
    <row r="162" spans="1:27">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row>
    <row r="163" spans="1:27">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row>
    <row r="164" spans="1:27">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row>
    <row r="165" spans="1:27">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row>
    <row r="166" spans="1:27">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row>
    <row r="167" spans="1:27">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row>
    <row r="168" spans="1:27">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row>
    <row r="169" spans="1:27">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row>
    <row r="170" spans="1:27">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row>
    <row r="171" spans="1:27">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row>
    <row r="172" spans="1:27">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row>
    <row r="173" spans="1:27">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row>
    <row r="174" spans="1:27">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row>
    <row r="175" spans="1:27">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row>
    <row r="176" spans="1:27">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row>
    <row r="177" spans="1:27">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row>
    <row r="178" spans="1:27">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row>
    <row r="179" spans="1:27">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row>
    <row r="180" spans="1:27">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row>
    <row r="181" spans="1:27">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row>
    <row r="182" spans="1:27">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row>
    <row r="183" spans="1:27">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row>
    <row r="184" spans="1:27">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row>
    <row r="185" spans="1:27">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row>
    <row r="186" spans="1:27">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row>
    <row r="187" spans="1:27">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row>
    <row r="188" spans="1:27">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row>
    <row r="189" spans="1:27">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row>
    <row r="190" spans="1:27">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row>
    <row r="191" spans="1:27">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row>
    <row r="192" spans="1:27">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row>
    <row r="193" spans="1:27">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row>
    <row r="194" spans="1:27">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row>
    <row r="195" spans="1:27">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row>
    <row r="196" spans="1:27">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row>
    <row r="197" spans="1:27">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row>
  </sheetData>
  <sheetProtection sheet="1" objects="1" scenarios="1"/>
  <mergeCells count="14">
    <mergeCell ref="A11:H11"/>
    <mergeCell ref="D22:D24"/>
    <mergeCell ref="C22:C24"/>
    <mergeCell ref="E68:G68"/>
    <mergeCell ref="H68:J68"/>
    <mergeCell ref="J21:L21"/>
    <mergeCell ref="J20:L20"/>
    <mergeCell ref="G20:I20"/>
    <mergeCell ref="G21:I21"/>
    <mergeCell ref="C71:D71"/>
    <mergeCell ref="B16:I16"/>
    <mergeCell ref="C69:D69"/>
    <mergeCell ref="A22:A24"/>
    <mergeCell ref="B22:B24"/>
  </mergeCells>
  <phoneticPr fontId="12" type="noConversion"/>
  <dataValidations count="1">
    <dataValidation type="list" allowBlank="1" showInputMessage="1" showErrorMessage="1" sqref="D25:D64" xr:uid="{00000000-0002-0000-0A00-000000000000}">
      <formula1>Steam_Fuel_Type</formula1>
    </dataValidation>
  </dataValidations>
  <pageMargins left="0.25" right="0.25" top="0.25" bottom="0.5" header="0.5" footer="0.25"/>
  <pageSetup scale="59" orientation="portrait" r:id="rId1"/>
  <headerFooter alignWithMargins="0">
    <oddFooter>&amp;L&amp;"Arial,Italic"&amp;9EPA Climate Leaders Simplified GHG Emissions Calculator (Indirect 2.0)&amp;R&amp;"Arial,Italic"&amp;9&amp;P of &amp;N</oddFooter>
  </headerFooter>
  <colBreaks count="1" manualBreakCount="1">
    <brk id="12" max="1048575" man="1"/>
  </colBreaks>
  <drawing r:id="rId2"/>
  <legacyDrawing r:id="rId3"/>
  <controls>
    <mc:AlternateContent xmlns:mc="http://schemas.openxmlformats.org/markup-compatibility/2006">
      <mc:Choice Requires="x14">
        <control shapeId="17479" r:id="rId4" name="CommandButton1">
          <controlPr autoLine="0" r:id="rId5">
            <anchor>
              <from>
                <xdr:col>1</xdr:col>
                <xdr:colOff>47625</xdr:colOff>
                <xdr:row>0</xdr:row>
                <xdr:rowOff>142875</xdr:rowOff>
              </from>
              <to>
                <xdr:col>1</xdr:col>
                <xdr:colOff>962025</xdr:colOff>
                <xdr:row>1</xdr:row>
                <xdr:rowOff>142875</xdr:rowOff>
              </to>
            </anchor>
          </controlPr>
        </control>
      </mc:Choice>
      <mc:Fallback>
        <control shapeId="17479" r:id="rId4" name="CommandButton1"/>
      </mc:Fallback>
    </mc:AlternateContent>
    <mc:AlternateContent xmlns:mc="http://schemas.openxmlformats.org/markup-compatibility/2006">
      <mc:Choice Requires="x14">
        <control shapeId="17480" r:id="rId6" name="CommandButton2">
          <controlPr autoLine="0" autoPict="0" r:id="rId7">
            <anchor>
              <from>
                <xdr:col>2</xdr:col>
                <xdr:colOff>57150</xdr:colOff>
                <xdr:row>0</xdr:row>
                <xdr:rowOff>133350</xdr:rowOff>
              </from>
              <to>
                <xdr:col>3</xdr:col>
                <xdr:colOff>247650</xdr:colOff>
                <xdr:row>1</xdr:row>
                <xdr:rowOff>133350</xdr:rowOff>
              </to>
            </anchor>
          </controlPr>
        </control>
      </mc:Choice>
      <mc:Fallback>
        <control shapeId="17480" r:id="rId6" name="CommandButton2"/>
      </mc:Fallback>
    </mc:AlternateContent>
    <mc:AlternateContent xmlns:mc="http://schemas.openxmlformats.org/markup-compatibility/2006">
      <mc:Choice Requires="x14">
        <control shapeId="17581" r:id="rId8" name="CommandButton3">
          <controlPr autoLine="0" r:id="rId9">
            <anchor moveWithCells="1">
              <from>
                <xdr:col>5</xdr:col>
                <xdr:colOff>9525</xdr:colOff>
                <xdr:row>0</xdr:row>
                <xdr:rowOff>133350</xdr:rowOff>
              </from>
              <to>
                <xdr:col>6</xdr:col>
                <xdr:colOff>114300</xdr:colOff>
                <xdr:row>1</xdr:row>
                <xdr:rowOff>133350</xdr:rowOff>
              </to>
            </anchor>
          </controlPr>
        </control>
      </mc:Choice>
      <mc:Fallback>
        <control shapeId="17581" r:id="rId8" name="CommandButton3"/>
      </mc:Fallback>
    </mc:AlternateContent>
    <mc:AlternateContent xmlns:mc="http://schemas.openxmlformats.org/markup-compatibility/2006">
      <mc:Choice Requires="x14">
        <control shapeId="17603" r:id="rId10" name="CommandButton4">
          <controlPr autoLine="0" r:id="rId11">
            <anchor moveWithCells="1">
              <from>
                <xdr:col>3</xdr:col>
                <xdr:colOff>457200</xdr:colOff>
                <xdr:row>0</xdr:row>
                <xdr:rowOff>142875</xdr:rowOff>
              </from>
              <to>
                <xdr:col>4</xdr:col>
                <xdr:colOff>276225</xdr:colOff>
                <xdr:row>1</xdr:row>
                <xdr:rowOff>142875</xdr:rowOff>
              </to>
            </anchor>
          </controlPr>
        </control>
      </mc:Choice>
      <mc:Fallback>
        <control shapeId="17603" r:id="rId10" name="CommandButton4"/>
      </mc:Fallback>
    </mc:AlternateContent>
    <mc:AlternateContent xmlns:mc="http://schemas.openxmlformats.org/markup-compatibility/2006">
      <mc:Choice Requires="x14">
        <control shapeId="18380" r:id="rId12" name="CommandButton5">
          <controlPr autoLine="0" r:id="rId13">
            <anchor moveWithCells="1">
              <from>
                <xdr:col>6</xdr:col>
                <xdr:colOff>200025</xdr:colOff>
                <xdr:row>0</xdr:row>
                <xdr:rowOff>133350</xdr:rowOff>
              </from>
              <to>
                <xdr:col>8</xdr:col>
                <xdr:colOff>733425</xdr:colOff>
                <xdr:row>1</xdr:row>
                <xdr:rowOff>123825</xdr:rowOff>
              </to>
            </anchor>
          </controlPr>
        </control>
      </mc:Choice>
      <mc:Fallback>
        <control shapeId="18380" r:id="rId12" name="CommandButton5"/>
      </mc:Fallback>
    </mc:AlternateContent>
    <mc:AlternateContent xmlns:mc="http://schemas.openxmlformats.org/markup-compatibility/2006">
      <mc:Choice Requires="x14">
        <control shapeId="18382" r:id="rId14" name="CommandButton6">
          <controlPr autoLine="0" r:id="rId15">
            <anchor moveWithCells="1">
              <from>
                <xdr:col>8</xdr:col>
                <xdr:colOff>514350</xdr:colOff>
                <xdr:row>15</xdr:row>
                <xdr:rowOff>190500</xdr:rowOff>
              </from>
              <to>
                <xdr:col>10</xdr:col>
                <xdr:colOff>704850</xdr:colOff>
                <xdr:row>16</xdr:row>
                <xdr:rowOff>9525</xdr:rowOff>
              </to>
            </anchor>
          </controlPr>
        </control>
      </mc:Choice>
      <mc:Fallback>
        <control shapeId="18382" r:id="rId14" name="CommandButton6"/>
      </mc:Fallback>
    </mc:AlternateContent>
  </control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dimension ref="A1:AD203"/>
  <sheetViews>
    <sheetView zoomScaleNormal="100" workbookViewId="0">
      <pane ySplit="4" topLeftCell="A5" activePane="bottomLeft" state="frozen"/>
      <selection pane="bottomLeft" activeCell="C17" sqref="C17"/>
    </sheetView>
  </sheetViews>
  <sheetFormatPr defaultRowHeight="12.75"/>
  <cols>
    <col min="1" max="1" width="13.140625" customWidth="1"/>
    <col min="2" max="2" width="24" customWidth="1"/>
    <col min="3" max="3" width="38" customWidth="1"/>
    <col min="4" max="7" width="10.7109375" customWidth="1"/>
    <col min="8" max="11" width="9.28515625" customWidth="1"/>
    <col min="12" max="13" width="9.28515625" style="180"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918</v>
      </c>
      <c r="B3" s="10"/>
      <c r="C3" s="10"/>
      <c r="D3" s="10"/>
      <c r="E3" s="10"/>
      <c r="F3" s="10"/>
      <c r="G3" s="10"/>
      <c r="H3" s="230"/>
      <c r="I3" s="230"/>
      <c r="J3" s="230"/>
      <c r="K3" s="230"/>
      <c r="L3" s="233"/>
      <c r="M3" s="233"/>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3"/>
      <c r="M4" s="233"/>
      <c r="N4" s="230"/>
      <c r="O4" s="230"/>
      <c r="P4" s="230"/>
      <c r="Q4" s="230"/>
      <c r="R4" s="230"/>
      <c r="S4" s="230"/>
      <c r="T4" s="230"/>
      <c r="U4" s="230"/>
      <c r="V4" s="230"/>
      <c r="W4" s="230"/>
      <c r="X4" s="230"/>
      <c r="Y4" s="230"/>
      <c r="Z4" s="230"/>
      <c r="AA4" s="230"/>
      <c r="AB4" s="230"/>
      <c r="AC4" s="230"/>
      <c r="AD4" s="230"/>
    </row>
    <row r="5" spans="1:30">
      <c r="A5" s="229" t="s">
        <v>346</v>
      </c>
      <c r="B5" s="230"/>
      <c r="C5" s="230"/>
      <c r="D5" s="230"/>
      <c r="E5" s="230"/>
      <c r="F5" s="230"/>
      <c r="G5" s="230"/>
      <c r="H5" s="230"/>
      <c r="I5" s="230"/>
      <c r="J5" s="230"/>
      <c r="K5" s="230"/>
      <c r="L5" s="230"/>
      <c r="M5" s="233"/>
      <c r="N5" s="233"/>
      <c r="O5" s="230"/>
      <c r="P5" s="230"/>
      <c r="Q5" s="230"/>
      <c r="R5" s="230"/>
      <c r="S5" s="230"/>
      <c r="T5" s="230"/>
      <c r="U5" s="230"/>
      <c r="V5" s="230"/>
      <c r="W5" s="230"/>
      <c r="X5" s="230"/>
      <c r="Y5" s="230"/>
      <c r="Z5" s="230"/>
      <c r="AA5" s="230"/>
      <c r="AB5" s="230"/>
      <c r="AC5" s="230"/>
      <c r="AD5" s="230"/>
    </row>
    <row r="6" spans="1:30">
      <c r="A6" s="309" t="s">
        <v>786</v>
      </c>
      <c r="B6" s="230"/>
      <c r="C6" s="230"/>
      <c r="D6" s="230"/>
      <c r="E6" s="230"/>
      <c r="F6" s="230"/>
      <c r="G6" s="230"/>
      <c r="H6" s="230"/>
      <c r="I6" s="230"/>
      <c r="J6" s="230"/>
      <c r="K6" s="230"/>
      <c r="L6" s="230"/>
      <c r="M6" s="233"/>
      <c r="N6" s="233"/>
      <c r="O6" s="230"/>
      <c r="P6" s="230"/>
      <c r="Q6" s="230"/>
      <c r="R6" s="230"/>
      <c r="S6" s="230"/>
      <c r="T6" s="230"/>
      <c r="U6" s="230"/>
      <c r="V6" s="230"/>
      <c r="W6" s="230"/>
      <c r="X6" s="230"/>
      <c r="Y6" s="230"/>
      <c r="Z6" s="230"/>
      <c r="AA6" s="230"/>
      <c r="AB6" s="230"/>
      <c r="AC6" s="230"/>
      <c r="AD6" s="230"/>
    </row>
    <row r="7" spans="1:30">
      <c r="A7" s="309" t="s">
        <v>662</v>
      </c>
      <c r="B7" s="10"/>
      <c r="C7" s="10"/>
      <c r="D7" s="10"/>
      <c r="E7" s="10"/>
      <c r="F7" s="10"/>
      <c r="G7" s="10"/>
      <c r="H7" s="230"/>
      <c r="I7" s="230"/>
      <c r="J7" s="230"/>
      <c r="K7" s="230"/>
      <c r="L7" s="233"/>
      <c r="M7" s="233"/>
      <c r="N7" s="230"/>
      <c r="O7" s="230"/>
      <c r="P7" s="230"/>
      <c r="Q7" s="230"/>
      <c r="R7" s="230"/>
      <c r="S7" s="230"/>
      <c r="T7" s="230"/>
      <c r="U7" s="230"/>
      <c r="V7" s="230"/>
      <c r="W7" s="230"/>
      <c r="X7" s="230"/>
      <c r="Y7" s="230"/>
      <c r="Z7" s="230"/>
      <c r="AA7" s="230"/>
      <c r="AB7" s="230"/>
      <c r="AC7" s="230"/>
      <c r="AD7" s="230"/>
    </row>
    <row r="8" spans="1:30">
      <c r="A8" s="309" t="s">
        <v>661</v>
      </c>
      <c r="B8" s="10"/>
      <c r="C8" s="10"/>
      <c r="D8" s="10"/>
      <c r="E8" s="10"/>
      <c r="F8" s="10"/>
      <c r="G8" s="10"/>
      <c r="H8" s="230"/>
      <c r="I8" s="230"/>
      <c r="J8" s="230"/>
      <c r="K8" s="230"/>
      <c r="L8" s="233"/>
      <c r="M8" s="233"/>
      <c r="N8" s="230"/>
      <c r="O8" s="230"/>
      <c r="P8" s="230"/>
      <c r="Q8" s="230"/>
      <c r="R8" s="230"/>
      <c r="S8" s="230"/>
      <c r="T8" s="230"/>
      <c r="U8" s="230"/>
      <c r="V8" s="230"/>
      <c r="W8" s="230"/>
      <c r="X8" s="230"/>
      <c r="Y8" s="230"/>
      <c r="Z8" s="230"/>
      <c r="AA8" s="230"/>
      <c r="AB8" s="230"/>
      <c r="AC8" s="230"/>
      <c r="AD8" s="230"/>
    </row>
    <row r="9" spans="1:30">
      <c r="A9" s="309" t="s">
        <v>658</v>
      </c>
      <c r="B9" s="10"/>
      <c r="C9" s="10"/>
      <c r="D9" s="10"/>
      <c r="E9" s="10"/>
      <c r="F9" s="230"/>
      <c r="G9" s="10"/>
      <c r="H9" s="230"/>
      <c r="I9" s="230"/>
      <c r="J9" s="230"/>
      <c r="K9" s="230"/>
      <c r="L9" s="233"/>
      <c r="M9" s="233"/>
      <c r="N9" s="230"/>
      <c r="O9" s="230"/>
      <c r="P9" s="230"/>
      <c r="Q9" s="230"/>
      <c r="R9" s="230"/>
      <c r="S9" s="230"/>
      <c r="T9" s="230"/>
      <c r="U9" s="230"/>
      <c r="V9" s="230"/>
      <c r="W9" s="230"/>
      <c r="X9" s="230"/>
      <c r="Y9" s="230"/>
      <c r="Z9" s="230"/>
      <c r="AA9" s="230"/>
      <c r="AB9" s="230"/>
      <c r="AC9" s="230"/>
      <c r="AD9" s="230"/>
    </row>
    <row r="10" spans="1:30">
      <c r="A10" s="309" t="s">
        <v>659</v>
      </c>
      <c r="B10" s="10"/>
      <c r="C10" s="10"/>
      <c r="D10" s="10"/>
      <c r="E10" s="10"/>
      <c r="F10" s="230"/>
      <c r="G10" s="10"/>
      <c r="H10" s="230"/>
      <c r="I10" s="230"/>
      <c r="J10" s="230"/>
      <c r="K10" s="230"/>
      <c r="L10" s="233"/>
      <c r="M10" s="233"/>
      <c r="N10" s="230"/>
      <c r="O10" s="230"/>
      <c r="P10" s="230"/>
      <c r="Q10" s="230"/>
      <c r="R10" s="230"/>
      <c r="S10" s="230"/>
      <c r="T10" s="230"/>
      <c r="U10" s="230"/>
      <c r="V10" s="230"/>
      <c r="W10" s="230"/>
      <c r="X10" s="230"/>
      <c r="Y10" s="230"/>
      <c r="Z10" s="230"/>
      <c r="AA10" s="230"/>
      <c r="AB10" s="230"/>
      <c r="AC10" s="230"/>
      <c r="AD10" s="230"/>
    </row>
    <row r="11" spans="1:30">
      <c r="A11" s="309" t="s">
        <v>660</v>
      </c>
      <c r="B11" s="10"/>
      <c r="C11" s="10"/>
      <c r="D11" s="10"/>
      <c r="E11" s="10"/>
      <c r="F11" s="230"/>
      <c r="G11" s="10"/>
      <c r="H11" s="230"/>
      <c r="I11" s="230"/>
      <c r="J11" s="230"/>
      <c r="K11" s="230"/>
      <c r="L11" s="233"/>
      <c r="M11" s="233"/>
      <c r="N11" s="230"/>
      <c r="O11" s="230"/>
      <c r="P11" s="230"/>
      <c r="Q11" s="230"/>
      <c r="R11" s="230"/>
      <c r="S11" s="230"/>
      <c r="T11" s="230"/>
      <c r="U11" s="230"/>
      <c r="V11" s="230"/>
      <c r="W11" s="230"/>
      <c r="X11" s="230"/>
      <c r="Y11" s="230"/>
      <c r="Z11" s="230"/>
      <c r="AA11" s="230"/>
      <c r="AB11" s="230"/>
      <c r="AC11" s="230"/>
      <c r="AD11" s="230"/>
    </row>
    <row r="12" spans="1:30" s="7" customFormat="1">
      <c r="A12" s="330" t="s">
        <v>653</v>
      </c>
      <c r="B12" s="260"/>
      <c r="C12" s="78"/>
      <c r="D12" s="78"/>
      <c r="E12" s="78"/>
      <c r="F12" s="78"/>
      <c r="G12" s="78"/>
      <c r="H12" s="324"/>
      <c r="I12" s="324"/>
      <c r="J12" s="324"/>
      <c r="K12" s="324"/>
      <c r="L12" s="233"/>
      <c r="M12" s="233"/>
      <c r="N12" s="230"/>
      <c r="O12" s="324"/>
      <c r="P12" s="324"/>
      <c r="Q12" s="324"/>
      <c r="R12" s="324"/>
      <c r="S12" s="324"/>
      <c r="T12" s="324"/>
      <c r="U12" s="324"/>
      <c r="V12" s="324"/>
      <c r="W12" s="324"/>
      <c r="X12" s="324"/>
      <c r="Y12" s="324"/>
      <c r="Z12" s="324"/>
      <c r="AA12" s="324"/>
      <c r="AB12" s="324"/>
      <c r="AC12" s="324"/>
      <c r="AD12" s="324"/>
    </row>
    <row r="13" spans="1:30">
      <c r="A13" s="15"/>
      <c r="B13" s="10"/>
      <c r="C13" s="10"/>
      <c r="D13" s="10"/>
      <c r="E13" s="10"/>
      <c r="F13" s="10"/>
      <c r="G13" s="10"/>
      <c r="H13" s="230"/>
      <c r="I13" s="230"/>
      <c r="J13" s="230"/>
      <c r="K13" s="230"/>
      <c r="L13" s="233"/>
      <c r="M13" s="233"/>
      <c r="N13" s="230"/>
      <c r="O13" s="230"/>
      <c r="P13" s="230"/>
      <c r="Q13" s="230"/>
      <c r="R13" s="230"/>
      <c r="S13" s="230"/>
      <c r="T13" s="230"/>
      <c r="U13" s="230"/>
      <c r="V13" s="230"/>
      <c r="W13" s="230"/>
      <c r="X13" s="230"/>
      <c r="Y13" s="230"/>
      <c r="Z13" s="230"/>
      <c r="AA13" s="230"/>
      <c r="AB13" s="230"/>
      <c r="AC13" s="230"/>
      <c r="AD13" s="230"/>
    </row>
    <row r="14" spans="1:30" ht="15" thickBot="1">
      <c r="A14" s="13" t="s">
        <v>613</v>
      </c>
      <c r="B14" s="10"/>
      <c r="C14" s="10"/>
      <c r="D14" s="10"/>
      <c r="E14" s="10"/>
      <c r="F14" s="10"/>
      <c r="G14" s="10"/>
      <c r="H14" s="230"/>
      <c r="I14" s="230"/>
      <c r="J14" s="230"/>
      <c r="K14" s="230"/>
      <c r="L14" s="233"/>
      <c r="M14" s="233"/>
      <c r="N14" s="230"/>
      <c r="O14" s="230"/>
      <c r="P14" s="230"/>
      <c r="Q14" s="230"/>
      <c r="R14" s="230"/>
      <c r="S14" s="230"/>
      <c r="T14" s="230"/>
      <c r="U14" s="230"/>
      <c r="V14" s="230"/>
      <c r="W14" s="230"/>
      <c r="X14" s="230"/>
      <c r="Y14" s="230"/>
      <c r="Z14" s="230"/>
      <c r="AA14" s="230"/>
      <c r="AB14" s="230"/>
      <c r="AC14" s="230"/>
      <c r="AD14" s="230"/>
    </row>
    <row r="15" spans="1:30" ht="40.5" thickBot="1">
      <c r="A15" s="607" t="s">
        <v>337</v>
      </c>
      <c r="B15" s="608" t="s">
        <v>0</v>
      </c>
      <c r="C15" s="609" t="s">
        <v>145</v>
      </c>
      <c r="D15" s="274" t="s">
        <v>357</v>
      </c>
      <c r="E15" s="274" t="s">
        <v>338</v>
      </c>
      <c r="F15" s="274" t="s">
        <v>351</v>
      </c>
      <c r="G15" s="275" t="s">
        <v>355</v>
      </c>
      <c r="H15" s="230"/>
      <c r="I15" s="230"/>
      <c r="J15" s="230"/>
      <c r="K15" s="324"/>
      <c r="L15" s="476"/>
      <c r="M15" s="476"/>
      <c r="N15" s="324"/>
      <c r="O15" s="324"/>
      <c r="P15" s="324"/>
      <c r="Q15" s="324"/>
      <c r="R15" s="324"/>
      <c r="S15" s="324"/>
      <c r="T15" s="324"/>
      <c r="U15" s="230"/>
      <c r="V15" s="230"/>
      <c r="W15" s="230"/>
      <c r="X15" s="230"/>
      <c r="Y15" s="230"/>
      <c r="Z15" s="230"/>
      <c r="AA15" s="230"/>
      <c r="AB15" s="230"/>
      <c r="AC15" s="230"/>
      <c r="AD15" s="230"/>
    </row>
    <row r="16" spans="1:30" s="27" customFormat="1">
      <c r="A16" s="641" t="s">
        <v>8</v>
      </c>
      <c r="B16" s="642" t="s">
        <v>9</v>
      </c>
      <c r="C16" s="642" t="s">
        <v>3</v>
      </c>
      <c r="D16" s="643">
        <v>100</v>
      </c>
      <c r="E16" s="643">
        <f>IF($C16="","",VLOOKUP($C16,Biz_Travel_Fctr,2,FALSE)*$D16)</f>
        <v>33.5</v>
      </c>
      <c r="F16" s="659">
        <f t="shared" ref="F16:F54" si="0">IF($C16="","",VLOOKUP($C16,Biz_Travel_Fctr,3,FALSE)*$D16)</f>
        <v>0.89999999999999991</v>
      </c>
      <c r="G16" s="660">
        <f t="shared" ref="G16:G54" si="1">IF($C16="","",VLOOKUP($C16,Biz_Travel_Fctr,4,FALSE)*$D16)</f>
        <v>0.8</v>
      </c>
      <c r="H16" s="324"/>
      <c r="I16" s="324"/>
      <c r="J16" s="324"/>
      <c r="K16" s="324"/>
      <c r="L16" s="477"/>
      <c r="M16" s="477"/>
      <c r="N16" s="324"/>
      <c r="O16" s="324"/>
      <c r="P16" s="324"/>
      <c r="Q16" s="324"/>
      <c r="R16" s="324"/>
      <c r="S16" s="324"/>
      <c r="T16" s="324"/>
      <c r="U16" s="324"/>
      <c r="V16" s="324"/>
      <c r="W16" s="324"/>
      <c r="X16" s="324"/>
      <c r="Y16" s="324"/>
      <c r="Z16" s="324"/>
      <c r="AA16" s="324"/>
      <c r="AB16" s="324"/>
      <c r="AC16" s="324"/>
      <c r="AD16" s="324"/>
    </row>
    <row r="17" spans="1:30" s="27" customFormat="1">
      <c r="A17" s="1116" t="s">
        <v>1395</v>
      </c>
      <c r="B17" s="1111" t="s">
        <v>1394</v>
      </c>
      <c r="C17" s="240" t="s">
        <v>3</v>
      </c>
      <c r="D17" s="242"/>
      <c r="E17" s="564">
        <f t="shared" ref="E17:E54" si="2">IF($C17="","",VLOOKUP($C17,Biz_Travel_Fctr,2,FALSE)*$D17)</f>
        <v>0</v>
      </c>
      <c r="F17" s="235">
        <f t="shared" si="0"/>
        <v>0</v>
      </c>
      <c r="G17" s="243">
        <f t="shared" si="1"/>
        <v>0</v>
      </c>
      <c r="H17" s="324"/>
      <c r="I17" s="324"/>
      <c r="J17" s="324"/>
      <c r="K17" s="324"/>
      <c r="L17" s="478"/>
      <c r="M17" s="479"/>
      <c r="N17" s="324"/>
      <c r="O17" s="324"/>
      <c r="P17" s="324"/>
      <c r="Q17" s="324"/>
      <c r="R17" s="324"/>
      <c r="S17" s="324"/>
      <c r="T17" s="324"/>
      <c r="U17" s="324"/>
      <c r="V17" s="324"/>
      <c r="W17" s="324"/>
      <c r="X17" s="324"/>
      <c r="Y17" s="324"/>
      <c r="Z17" s="324"/>
      <c r="AA17" s="324"/>
      <c r="AB17" s="324"/>
      <c r="AC17" s="324"/>
      <c r="AD17" s="324"/>
    </row>
    <row r="18" spans="1:30" s="27" customFormat="1">
      <c r="A18" s="133"/>
      <c r="B18" s="37"/>
      <c r="C18" s="37"/>
      <c r="D18" s="109"/>
      <c r="E18" s="5" t="str">
        <f t="shared" si="2"/>
        <v/>
      </c>
      <c r="F18" s="127" t="str">
        <f t="shared" si="0"/>
        <v/>
      </c>
      <c r="G18" s="212" t="str">
        <f t="shared" si="1"/>
        <v/>
      </c>
      <c r="H18" s="324"/>
      <c r="I18" s="324"/>
      <c r="J18" s="324"/>
      <c r="K18" s="324"/>
      <c r="L18" s="478"/>
      <c r="M18" s="479"/>
      <c r="N18" s="324"/>
      <c r="O18" s="324"/>
      <c r="P18" s="324"/>
      <c r="Q18" s="324"/>
      <c r="R18" s="324"/>
      <c r="S18" s="324"/>
      <c r="T18" s="324"/>
      <c r="U18" s="324"/>
      <c r="V18" s="324"/>
      <c r="W18" s="324"/>
      <c r="X18" s="324"/>
      <c r="Y18" s="324"/>
      <c r="Z18" s="324"/>
      <c r="AA18" s="324"/>
      <c r="AB18" s="324"/>
      <c r="AC18" s="324"/>
      <c r="AD18" s="324"/>
    </row>
    <row r="19" spans="1:30" s="27" customFormat="1">
      <c r="A19" s="133"/>
      <c r="B19" s="37"/>
      <c r="C19" s="37"/>
      <c r="D19" s="109"/>
      <c r="E19" s="5" t="str">
        <f t="shared" si="2"/>
        <v/>
      </c>
      <c r="F19" s="127" t="str">
        <f t="shared" si="0"/>
        <v/>
      </c>
      <c r="G19" s="146" t="str">
        <f t="shared" si="1"/>
        <v/>
      </c>
      <c r="H19" s="324"/>
      <c r="I19" s="324"/>
      <c r="J19" s="324"/>
      <c r="K19" s="324"/>
      <c r="L19" s="478"/>
      <c r="M19" s="479"/>
      <c r="N19" s="324"/>
      <c r="O19" s="324"/>
      <c r="P19" s="324"/>
      <c r="Q19" s="324"/>
      <c r="R19" s="324"/>
      <c r="S19" s="324"/>
      <c r="T19" s="324"/>
      <c r="U19" s="324"/>
      <c r="V19" s="324"/>
      <c r="W19" s="324"/>
      <c r="X19" s="324"/>
      <c r="Y19" s="324"/>
      <c r="Z19" s="324"/>
      <c r="AA19" s="324"/>
      <c r="AB19" s="324"/>
      <c r="AC19" s="324"/>
      <c r="AD19" s="324"/>
    </row>
    <row r="20" spans="1:30" s="27" customFormat="1" hidden="1">
      <c r="A20" s="133"/>
      <c r="B20" s="37"/>
      <c r="C20" s="37"/>
      <c r="D20" s="109"/>
      <c r="E20" s="5" t="str">
        <f t="shared" si="2"/>
        <v/>
      </c>
      <c r="F20" s="127" t="str">
        <f t="shared" si="0"/>
        <v/>
      </c>
      <c r="G20" s="146" t="str">
        <f t="shared" si="1"/>
        <v/>
      </c>
      <c r="H20" s="324"/>
      <c r="I20" s="324"/>
      <c r="J20" s="324"/>
      <c r="K20" s="324"/>
      <c r="L20" s="478"/>
      <c r="M20" s="479"/>
      <c r="N20" s="324"/>
      <c r="O20" s="324"/>
      <c r="P20" s="324"/>
      <c r="Q20" s="324"/>
      <c r="R20" s="324"/>
      <c r="S20" s="324"/>
      <c r="T20" s="324"/>
      <c r="U20" s="324"/>
      <c r="V20" s="324"/>
      <c r="W20" s="324"/>
      <c r="X20" s="324"/>
      <c r="Y20" s="324"/>
      <c r="Z20" s="324"/>
      <c r="AA20" s="324"/>
      <c r="AB20" s="324"/>
      <c r="AC20" s="324"/>
      <c r="AD20" s="324"/>
    </row>
    <row r="21" spans="1:30" s="27" customFormat="1">
      <c r="A21" s="133"/>
      <c r="B21" s="37"/>
      <c r="C21" s="37"/>
      <c r="D21" s="109"/>
      <c r="E21" s="5" t="str">
        <f t="shared" si="2"/>
        <v/>
      </c>
      <c r="F21" s="127" t="str">
        <f t="shared" si="0"/>
        <v/>
      </c>
      <c r="G21" s="146" t="str">
        <f t="shared" si="1"/>
        <v/>
      </c>
      <c r="H21" s="324"/>
      <c r="I21" s="324"/>
      <c r="J21" s="324"/>
      <c r="K21" s="324"/>
      <c r="L21" s="478"/>
      <c r="M21" s="479"/>
      <c r="N21" s="324"/>
      <c r="O21" s="324"/>
      <c r="P21" s="324"/>
      <c r="Q21" s="324"/>
      <c r="R21" s="324"/>
      <c r="S21" s="324"/>
      <c r="T21" s="324"/>
      <c r="U21" s="324"/>
      <c r="V21" s="324"/>
      <c r="W21" s="324"/>
      <c r="X21" s="324"/>
      <c r="Y21" s="324"/>
      <c r="Z21" s="324"/>
      <c r="AA21" s="324"/>
      <c r="AB21" s="324"/>
      <c r="AC21" s="324"/>
      <c r="AD21" s="324"/>
    </row>
    <row r="22" spans="1:30" s="27" customFormat="1" hidden="1">
      <c r="A22" s="133"/>
      <c r="B22" s="37"/>
      <c r="C22" s="37"/>
      <c r="D22" s="109"/>
      <c r="E22" s="5" t="str">
        <f t="shared" si="2"/>
        <v/>
      </c>
      <c r="F22" s="127" t="str">
        <f t="shared" si="0"/>
        <v/>
      </c>
      <c r="G22" s="146" t="str">
        <f t="shared" si="1"/>
        <v/>
      </c>
      <c r="H22" s="324"/>
      <c r="I22" s="324"/>
      <c r="J22" s="324"/>
      <c r="K22" s="324"/>
      <c r="L22" s="479"/>
      <c r="M22" s="479"/>
      <c r="N22" s="324"/>
      <c r="O22" s="324"/>
      <c r="P22" s="324"/>
      <c r="Q22" s="324"/>
      <c r="R22" s="324"/>
      <c r="S22" s="324"/>
      <c r="T22" s="324"/>
      <c r="U22" s="324"/>
      <c r="V22" s="324"/>
      <c r="W22" s="324"/>
      <c r="X22" s="324"/>
      <c r="Y22" s="324"/>
      <c r="Z22" s="324"/>
      <c r="AA22" s="324"/>
      <c r="AB22" s="324"/>
      <c r="AC22" s="324"/>
      <c r="AD22" s="324"/>
    </row>
    <row r="23" spans="1:30" s="27" customFormat="1">
      <c r="A23" s="133"/>
      <c r="B23" s="37"/>
      <c r="C23" s="37"/>
      <c r="D23" s="109"/>
      <c r="E23" s="5" t="str">
        <f t="shared" si="2"/>
        <v/>
      </c>
      <c r="F23" s="127" t="str">
        <f t="shared" si="0"/>
        <v/>
      </c>
      <c r="G23" s="146" t="str">
        <f t="shared" si="1"/>
        <v/>
      </c>
      <c r="H23" s="324"/>
      <c r="I23" s="324"/>
      <c r="J23" s="324"/>
      <c r="K23" s="324"/>
      <c r="L23" s="479"/>
      <c r="M23" s="479"/>
      <c r="N23" s="324"/>
      <c r="O23" s="324"/>
      <c r="P23" s="324"/>
      <c r="Q23" s="324"/>
      <c r="R23" s="324"/>
      <c r="S23" s="324"/>
      <c r="T23" s="324"/>
      <c r="U23" s="324"/>
      <c r="V23" s="324"/>
      <c r="W23" s="324"/>
      <c r="X23" s="324"/>
      <c r="Y23" s="324"/>
      <c r="Z23" s="324"/>
      <c r="AA23" s="324"/>
      <c r="AB23" s="324"/>
      <c r="AC23" s="324"/>
      <c r="AD23" s="324"/>
    </row>
    <row r="24" spans="1:30" s="27" customFormat="1">
      <c r="A24" s="133"/>
      <c r="B24" s="37"/>
      <c r="C24" s="37"/>
      <c r="D24" s="109"/>
      <c r="E24" s="5" t="str">
        <f t="shared" si="2"/>
        <v/>
      </c>
      <c r="F24" s="127" t="str">
        <f t="shared" si="0"/>
        <v/>
      </c>
      <c r="G24" s="146" t="str">
        <f t="shared" si="1"/>
        <v/>
      </c>
      <c r="H24" s="324"/>
      <c r="I24" s="324"/>
      <c r="J24" s="324"/>
      <c r="K24" s="324"/>
      <c r="L24" s="479"/>
      <c r="M24" s="479"/>
      <c r="N24" s="324"/>
      <c r="O24" s="324"/>
      <c r="P24" s="324"/>
      <c r="Q24" s="324"/>
      <c r="R24" s="324"/>
      <c r="S24" s="324"/>
      <c r="T24" s="324"/>
      <c r="U24" s="324"/>
      <c r="V24" s="324"/>
      <c r="W24" s="324"/>
      <c r="X24" s="324"/>
      <c r="Y24" s="324"/>
      <c r="Z24" s="324"/>
      <c r="AA24" s="324"/>
      <c r="AB24" s="324"/>
      <c r="AC24" s="324"/>
      <c r="AD24" s="324"/>
    </row>
    <row r="25" spans="1:30" s="27" customFormat="1">
      <c r="A25" s="133"/>
      <c r="B25" s="37"/>
      <c r="C25" s="37"/>
      <c r="D25" s="109"/>
      <c r="E25" s="5" t="str">
        <f t="shared" si="2"/>
        <v/>
      </c>
      <c r="F25" s="127" t="str">
        <f t="shared" si="0"/>
        <v/>
      </c>
      <c r="G25" s="146" t="str">
        <f t="shared" si="1"/>
        <v/>
      </c>
      <c r="H25" s="324"/>
      <c r="I25" s="324"/>
      <c r="J25" s="324"/>
      <c r="K25" s="324"/>
      <c r="L25" s="479"/>
      <c r="M25" s="479"/>
      <c r="N25" s="324"/>
      <c r="O25" s="324"/>
      <c r="P25" s="324"/>
      <c r="Q25" s="324"/>
      <c r="R25" s="324"/>
      <c r="S25" s="324"/>
      <c r="T25" s="324"/>
      <c r="U25" s="324"/>
      <c r="V25" s="324"/>
      <c r="W25" s="324"/>
      <c r="X25" s="324"/>
      <c r="Y25" s="324"/>
      <c r="Z25" s="324"/>
      <c r="AA25" s="324"/>
      <c r="AB25" s="324"/>
      <c r="AC25" s="324"/>
      <c r="AD25" s="324"/>
    </row>
    <row r="26" spans="1:30" s="27" customFormat="1" hidden="1">
      <c r="A26" s="133"/>
      <c r="B26" s="37"/>
      <c r="C26" s="37"/>
      <c r="D26" s="109"/>
      <c r="E26" s="5" t="str">
        <f t="shared" si="2"/>
        <v/>
      </c>
      <c r="F26" s="127" t="str">
        <f t="shared" si="0"/>
        <v/>
      </c>
      <c r="G26" s="146" t="str">
        <f t="shared" si="1"/>
        <v/>
      </c>
      <c r="H26" s="324"/>
      <c r="I26" s="324"/>
      <c r="J26" s="324"/>
      <c r="K26" s="324"/>
      <c r="L26" s="479"/>
      <c r="M26" s="479"/>
      <c r="N26" s="324"/>
      <c r="O26" s="324"/>
      <c r="P26" s="324"/>
      <c r="Q26" s="324"/>
      <c r="R26" s="324"/>
      <c r="S26" s="324"/>
      <c r="T26" s="324"/>
      <c r="U26" s="324"/>
      <c r="V26" s="324"/>
      <c r="W26" s="324"/>
      <c r="X26" s="324"/>
      <c r="Y26" s="324"/>
      <c r="Z26" s="324"/>
      <c r="AA26" s="324"/>
      <c r="AB26" s="324"/>
      <c r="AC26" s="324"/>
      <c r="AD26" s="324"/>
    </row>
    <row r="27" spans="1:30" s="27" customFormat="1">
      <c r="A27" s="133"/>
      <c r="B27" s="37"/>
      <c r="C27" s="37"/>
      <c r="D27" s="109"/>
      <c r="E27" s="5" t="str">
        <f t="shared" si="2"/>
        <v/>
      </c>
      <c r="F27" s="127" t="str">
        <f t="shared" si="0"/>
        <v/>
      </c>
      <c r="G27" s="146" t="str">
        <f t="shared" si="1"/>
        <v/>
      </c>
      <c r="H27" s="324"/>
      <c r="I27" s="324"/>
      <c r="J27" s="324"/>
      <c r="K27" s="324"/>
      <c r="L27" s="479"/>
      <c r="M27" s="479"/>
      <c r="N27" s="324"/>
      <c r="O27" s="324"/>
      <c r="P27" s="324"/>
      <c r="Q27" s="324"/>
      <c r="R27" s="324"/>
      <c r="S27" s="324"/>
      <c r="T27" s="324"/>
      <c r="U27" s="324"/>
      <c r="V27" s="324"/>
      <c r="W27" s="324"/>
      <c r="X27" s="324"/>
      <c r="Y27" s="324"/>
      <c r="Z27" s="324"/>
      <c r="AA27" s="324"/>
      <c r="AB27" s="324"/>
      <c r="AC27" s="324"/>
      <c r="AD27" s="324"/>
    </row>
    <row r="28" spans="1:30" s="27" customFormat="1" hidden="1">
      <c r="A28" s="133"/>
      <c r="B28" s="37"/>
      <c r="C28" s="37"/>
      <c r="D28" s="109"/>
      <c r="E28" s="5" t="str">
        <f t="shared" si="2"/>
        <v/>
      </c>
      <c r="F28" s="127" t="str">
        <f t="shared" si="0"/>
        <v/>
      </c>
      <c r="G28" s="146" t="str">
        <f t="shared" si="1"/>
        <v/>
      </c>
      <c r="H28" s="324"/>
      <c r="I28" s="324"/>
      <c r="J28" s="324"/>
      <c r="K28" s="324"/>
      <c r="L28" s="479"/>
      <c r="M28" s="479"/>
      <c r="N28" s="324"/>
      <c r="O28" s="324"/>
      <c r="P28" s="324"/>
      <c r="Q28" s="324"/>
      <c r="R28" s="324"/>
      <c r="S28" s="324"/>
      <c r="T28" s="324"/>
      <c r="U28" s="324"/>
      <c r="V28" s="324"/>
      <c r="W28" s="324"/>
      <c r="X28" s="324"/>
      <c r="Y28" s="324"/>
      <c r="Z28" s="324"/>
      <c r="AA28" s="324"/>
      <c r="AB28" s="324"/>
      <c r="AC28" s="324"/>
      <c r="AD28" s="324"/>
    </row>
    <row r="29" spans="1:30" s="27" customFormat="1">
      <c r="A29" s="133"/>
      <c r="B29" s="37"/>
      <c r="C29" s="37"/>
      <c r="D29" s="109"/>
      <c r="E29" s="5" t="str">
        <f t="shared" si="2"/>
        <v/>
      </c>
      <c r="F29" s="127" t="str">
        <f t="shared" si="0"/>
        <v/>
      </c>
      <c r="G29" s="146" t="str">
        <f t="shared" si="1"/>
        <v/>
      </c>
      <c r="H29" s="324"/>
      <c r="I29" s="324"/>
      <c r="J29" s="324"/>
      <c r="K29" s="324"/>
      <c r="L29" s="479"/>
      <c r="M29" s="479"/>
      <c r="N29" s="324"/>
      <c r="O29" s="324"/>
      <c r="P29" s="324"/>
      <c r="Q29" s="324"/>
      <c r="R29" s="324"/>
      <c r="S29" s="324"/>
      <c r="T29" s="324"/>
      <c r="U29" s="324"/>
      <c r="V29" s="324"/>
      <c r="W29" s="324"/>
      <c r="X29" s="324"/>
      <c r="Y29" s="324"/>
      <c r="Z29" s="324"/>
      <c r="AA29" s="324"/>
      <c r="AB29" s="324"/>
      <c r="AC29" s="324"/>
      <c r="AD29" s="324"/>
    </row>
    <row r="30" spans="1:30" s="27" customFormat="1">
      <c r="A30" s="133"/>
      <c r="B30" s="37"/>
      <c r="C30" s="37"/>
      <c r="D30" s="109"/>
      <c r="E30" s="5" t="str">
        <f t="shared" si="2"/>
        <v/>
      </c>
      <c r="F30" s="127" t="str">
        <f t="shared" si="0"/>
        <v/>
      </c>
      <c r="G30" s="146" t="str">
        <f t="shared" si="1"/>
        <v/>
      </c>
      <c r="H30" s="324"/>
      <c r="I30" s="324"/>
      <c r="J30" s="324"/>
      <c r="K30" s="324"/>
      <c r="L30" s="479"/>
      <c r="M30" s="479"/>
      <c r="N30" s="324"/>
      <c r="O30" s="324"/>
      <c r="P30" s="324"/>
      <c r="Q30" s="324"/>
      <c r="R30" s="324"/>
      <c r="S30" s="324"/>
      <c r="T30" s="324"/>
      <c r="U30" s="324"/>
      <c r="V30" s="324"/>
      <c r="W30" s="324"/>
      <c r="X30" s="324"/>
      <c r="Y30" s="324"/>
      <c r="Z30" s="324"/>
      <c r="AA30" s="324"/>
      <c r="AB30" s="324"/>
      <c r="AC30" s="324"/>
      <c r="AD30" s="324"/>
    </row>
    <row r="31" spans="1:30" s="27" customFormat="1">
      <c r="A31" s="133"/>
      <c r="B31" s="37"/>
      <c r="C31" s="37"/>
      <c r="D31" s="109"/>
      <c r="E31" s="5" t="str">
        <f t="shared" si="2"/>
        <v/>
      </c>
      <c r="F31" s="127" t="str">
        <f t="shared" si="0"/>
        <v/>
      </c>
      <c r="G31" s="146" t="str">
        <f t="shared" si="1"/>
        <v/>
      </c>
      <c r="H31" s="324"/>
      <c r="I31" s="324"/>
      <c r="J31" s="324"/>
      <c r="K31" s="324"/>
      <c r="L31" s="479"/>
      <c r="M31" s="479"/>
      <c r="N31" s="324"/>
      <c r="O31" s="324"/>
      <c r="P31" s="324"/>
      <c r="Q31" s="324"/>
      <c r="R31" s="324"/>
      <c r="S31" s="324"/>
      <c r="T31" s="324"/>
      <c r="U31" s="324"/>
      <c r="V31" s="324"/>
      <c r="W31" s="324"/>
      <c r="X31" s="324"/>
      <c r="Y31" s="324"/>
      <c r="Z31" s="324"/>
      <c r="AA31" s="324"/>
      <c r="AB31" s="324"/>
      <c r="AC31" s="324"/>
      <c r="AD31" s="324"/>
    </row>
    <row r="32" spans="1:30" s="27" customFormat="1">
      <c r="A32" s="133"/>
      <c r="B32" s="37"/>
      <c r="C32" s="37"/>
      <c r="D32" s="109"/>
      <c r="E32" s="5" t="str">
        <f t="shared" si="2"/>
        <v/>
      </c>
      <c r="F32" s="127" t="str">
        <f t="shared" si="0"/>
        <v/>
      </c>
      <c r="G32" s="146" t="str">
        <f t="shared" si="1"/>
        <v/>
      </c>
      <c r="H32" s="324"/>
      <c r="I32" s="324"/>
      <c r="J32" s="324"/>
      <c r="K32" s="324"/>
      <c r="L32" s="479"/>
      <c r="M32" s="479"/>
      <c r="N32" s="324"/>
      <c r="O32" s="324"/>
      <c r="P32" s="324"/>
      <c r="Q32" s="324"/>
      <c r="R32" s="324"/>
      <c r="S32" s="324"/>
      <c r="T32" s="324"/>
      <c r="U32" s="324"/>
      <c r="V32" s="324"/>
      <c r="W32" s="324"/>
      <c r="X32" s="324"/>
      <c r="Y32" s="324"/>
      <c r="Z32" s="324"/>
      <c r="AA32" s="324"/>
      <c r="AB32" s="324"/>
      <c r="AC32" s="324"/>
      <c r="AD32" s="324"/>
    </row>
    <row r="33" spans="1:30" s="27" customFormat="1">
      <c r="A33" s="133"/>
      <c r="B33" s="37"/>
      <c r="C33" s="37"/>
      <c r="D33" s="109"/>
      <c r="E33" s="5" t="str">
        <f t="shared" si="2"/>
        <v/>
      </c>
      <c r="F33" s="127" t="str">
        <f t="shared" si="0"/>
        <v/>
      </c>
      <c r="G33" s="146" t="str">
        <f t="shared" si="1"/>
        <v/>
      </c>
      <c r="H33" s="324"/>
      <c r="I33" s="324"/>
      <c r="J33" s="324"/>
      <c r="K33" s="324"/>
      <c r="L33" s="479"/>
      <c r="M33" s="479"/>
      <c r="N33" s="324"/>
      <c r="O33" s="324"/>
      <c r="P33" s="324"/>
      <c r="Q33" s="324"/>
      <c r="R33" s="324"/>
      <c r="S33" s="324"/>
      <c r="T33" s="324"/>
      <c r="U33" s="324"/>
      <c r="V33" s="324"/>
      <c r="W33" s="324"/>
      <c r="X33" s="324"/>
      <c r="Y33" s="324"/>
      <c r="Z33" s="324"/>
      <c r="AA33" s="324"/>
      <c r="AB33" s="324"/>
      <c r="AC33" s="324"/>
      <c r="AD33" s="324"/>
    </row>
    <row r="34" spans="1:30" s="27" customFormat="1">
      <c r="A34" s="133"/>
      <c r="B34" s="37"/>
      <c r="C34" s="37"/>
      <c r="D34" s="109"/>
      <c r="E34" s="5" t="str">
        <f t="shared" si="2"/>
        <v/>
      </c>
      <c r="F34" s="127" t="str">
        <f t="shared" si="0"/>
        <v/>
      </c>
      <c r="G34" s="146" t="str">
        <f t="shared" si="1"/>
        <v/>
      </c>
      <c r="H34" s="324"/>
      <c r="I34" s="324"/>
      <c r="J34" s="324"/>
      <c r="K34" s="324"/>
      <c r="L34" s="479"/>
      <c r="M34" s="479"/>
      <c r="N34" s="324"/>
      <c r="O34" s="324"/>
      <c r="P34" s="324"/>
      <c r="Q34" s="324"/>
      <c r="R34" s="324"/>
      <c r="S34" s="324"/>
      <c r="T34" s="324"/>
      <c r="U34" s="324"/>
      <c r="V34" s="324"/>
      <c r="W34" s="324"/>
      <c r="X34" s="324"/>
      <c r="Y34" s="324"/>
      <c r="Z34" s="324"/>
      <c r="AA34" s="324"/>
      <c r="AB34" s="324"/>
      <c r="AC34" s="324"/>
      <c r="AD34" s="324"/>
    </row>
    <row r="35" spans="1:30" s="27" customFormat="1">
      <c r="A35" s="133"/>
      <c r="B35" s="37"/>
      <c r="C35" s="37"/>
      <c r="D35" s="109"/>
      <c r="E35" s="5" t="str">
        <f t="shared" si="2"/>
        <v/>
      </c>
      <c r="F35" s="127" t="str">
        <f t="shared" si="0"/>
        <v/>
      </c>
      <c r="G35" s="146" t="str">
        <f t="shared" si="1"/>
        <v/>
      </c>
      <c r="H35" s="324"/>
      <c r="I35" s="324"/>
      <c r="J35" s="324"/>
      <c r="K35" s="324"/>
      <c r="L35" s="479"/>
      <c r="M35" s="479"/>
      <c r="N35" s="324"/>
      <c r="O35" s="324"/>
      <c r="P35" s="324"/>
      <c r="Q35" s="324"/>
      <c r="R35" s="324"/>
      <c r="S35" s="324"/>
      <c r="T35" s="324"/>
      <c r="U35" s="324"/>
      <c r="V35" s="324"/>
      <c r="W35" s="324"/>
      <c r="X35" s="324"/>
      <c r="Y35" s="324"/>
      <c r="Z35" s="324"/>
      <c r="AA35" s="324"/>
      <c r="AB35" s="324"/>
      <c r="AC35" s="324"/>
      <c r="AD35" s="324"/>
    </row>
    <row r="36" spans="1:30" s="27" customFormat="1">
      <c r="A36" s="133"/>
      <c r="B36" s="37"/>
      <c r="C36" s="37"/>
      <c r="D36" s="109"/>
      <c r="E36" s="5" t="str">
        <f t="shared" si="2"/>
        <v/>
      </c>
      <c r="F36" s="127" t="str">
        <f t="shared" si="0"/>
        <v/>
      </c>
      <c r="G36" s="146" t="str">
        <f t="shared" si="1"/>
        <v/>
      </c>
      <c r="H36" s="324"/>
      <c r="I36" s="324"/>
      <c r="J36" s="324"/>
      <c r="K36" s="324"/>
      <c r="L36" s="479"/>
      <c r="M36" s="479"/>
      <c r="N36" s="324"/>
      <c r="O36" s="324"/>
      <c r="P36" s="324"/>
      <c r="Q36" s="324"/>
      <c r="R36" s="324"/>
      <c r="S36" s="324"/>
      <c r="T36" s="324"/>
      <c r="U36" s="324"/>
      <c r="V36" s="324"/>
      <c r="W36" s="324"/>
      <c r="X36" s="324"/>
      <c r="Y36" s="324"/>
      <c r="Z36" s="324"/>
      <c r="AA36" s="324"/>
      <c r="AB36" s="324"/>
      <c r="AC36" s="324"/>
      <c r="AD36" s="324"/>
    </row>
    <row r="37" spans="1:30" s="27" customFormat="1">
      <c r="A37" s="133"/>
      <c r="B37" s="37"/>
      <c r="C37" s="37"/>
      <c r="D37" s="109"/>
      <c r="E37" s="5" t="str">
        <f t="shared" si="2"/>
        <v/>
      </c>
      <c r="F37" s="127" t="str">
        <f t="shared" si="0"/>
        <v/>
      </c>
      <c r="G37" s="146" t="str">
        <f t="shared" si="1"/>
        <v/>
      </c>
      <c r="H37" s="324"/>
      <c r="I37" s="324"/>
      <c r="J37" s="324"/>
      <c r="K37" s="324"/>
      <c r="L37" s="479"/>
      <c r="M37" s="479"/>
      <c r="N37" s="324"/>
      <c r="O37" s="324"/>
      <c r="P37" s="324"/>
      <c r="Q37" s="324"/>
      <c r="R37" s="324"/>
      <c r="S37" s="324"/>
      <c r="T37" s="324"/>
      <c r="U37" s="324"/>
      <c r="V37" s="324"/>
      <c r="W37" s="324"/>
      <c r="X37" s="324"/>
      <c r="Y37" s="324"/>
      <c r="Z37" s="324"/>
      <c r="AA37" s="324"/>
      <c r="AB37" s="324"/>
      <c r="AC37" s="324"/>
      <c r="AD37" s="324"/>
    </row>
    <row r="38" spans="1:30" s="27" customFormat="1">
      <c r="A38" s="133"/>
      <c r="B38" s="37"/>
      <c r="C38" s="37"/>
      <c r="D38" s="109"/>
      <c r="E38" s="5" t="str">
        <f t="shared" si="2"/>
        <v/>
      </c>
      <c r="F38" s="127" t="str">
        <f t="shared" si="0"/>
        <v/>
      </c>
      <c r="G38" s="146" t="str">
        <f t="shared" si="1"/>
        <v/>
      </c>
      <c r="H38" s="324"/>
      <c r="I38" s="324"/>
      <c r="J38" s="324"/>
      <c r="K38" s="324"/>
      <c r="L38" s="479"/>
      <c r="M38" s="479"/>
      <c r="N38" s="324"/>
      <c r="O38" s="324"/>
      <c r="P38" s="324"/>
      <c r="Q38" s="324"/>
      <c r="R38" s="324"/>
      <c r="S38" s="324"/>
      <c r="T38" s="324"/>
      <c r="U38" s="324"/>
      <c r="V38" s="324"/>
      <c r="W38" s="324"/>
      <c r="X38" s="324"/>
      <c r="Y38" s="324"/>
      <c r="Z38" s="324"/>
      <c r="AA38" s="324"/>
      <c r="AB38" s="324"/>
      <c r="AC38" s="324"/>
      <c r="AD38" s="324"/>
    </row>
    <row r="39" spans="1:30" s="27" customFormat="1">
      <c r="A39" s="133"/>
      <c r="B39" s="37"/>
      <c r="C39" s="37"/>
      <c r="D39" s="109"/>
      <c r="E39" s="5" t="str">
        <f t="shared" si="2"/>
        <v/>
      </c>
      <c r="F39" s="127" t="str">
        <f t="shared" si="0"/>
        <v/>
      </c>
      <c r="G39" s="146" t="str">
        <f t="shared" si="1"/>
        <v/>
      </c>
      <c r="H39" s="324"/>
      <c r="I39" s="324"/>
      <c r="J39" s="324"/>
      <c r="K39" s="324"/>
      <c r="L39" s="479"/>
      <c r="M39" s="479"/>
      <c r="N39" s="324"/>
      <c r="O39" s="324"/>
      <c r="P39" s="324"/>
      <c r="Q39" s="324"/>
      <c r="R39" s="324"/>
      <c r="S39" s="324"/>
      <c r="T39" s="324"/>
      <c r="U39" s="324"/>
      <c r="V39" s="324"/>
      <c r="W39" s="324"/>
      <c r="X39" s="324"/>
      <c r="Y39" s="324"/>
      <c r="Z39" s="324"/>
      <c r="AA39" s="324"/>
      <c r="AB39" s="324"/>
      <c r="AC39" s="324"/>
      <c r="AD39" s="324"/>
    </row>
    <row r="40" spans="1:30" s="27" customFormat="1">
      <c r="A40" s="133"/>
      <c r="B40" s="37"/>
      <c r="C40" s="37"/>
      <c r="D40" s="109"/>
      <c r="E40" s="5" t="str">
        <f t="shared" si="2"/>
        <v/>
      </c>
      <c r="F40" s="127" t="str">
        <f t="shared" si="0"/>
        <v/>
      </c>
      <c r="G40" s="146" t="str">
        <f t="shared" si="1"/>
        <v/>
      </c>
      <c r="H40" s="324"/>
      <c r="I40" s="324"/>
      <c r="J40" s="324"/>
      <c r="K40" s="324"/>
      <c r="L40" s="479"/>
      <c r="M40" s="479"/>
      <c r="N40" s="324"/>
      <c r="O40" s="324"/>
      <c r="P40" s="324"/>
      <c r="Q40" s="324"/>
      <c r="R40" s="324"/>
      <c r="S40" s="324"/>
      <c r="T40" s="324"/>
      <c r="U40" s="324"/>
      <c r="V40" s="324"/>
      <c r="W40" s="324"/>
      <c r="X40" s="324"/>
      <c r="Y40" s="324"/>
      <c r="Z40" s="324"/>
      <c r="AA40" s="324"/>
      <c r="AB40" s="324"/>
      <c r="AC40" s="324"/>
      <c r="AD40" s="324"/>
    </row>
    <row r="41" spans="1:30" s="27" customFormat="1">
      <c r="A41" s="133"/>
      <c r="B41" s="37"/>
      <c r="C41" s="37"/>
      <c r="D41" s="109"/>
      <c r="E41" s="5" t="str">
        <f t="shared" si="2"/>
        <v/>
      </c>
      <c r="F41" s="127" t="str">
        <f t="shared" si="0"/>
        <v/>
      </c>
      <c r="G41" s="146" t="str">
        <f t="shared" si="1"/>
        <v/>
      </c>
      <c r="H41" s="324"/>
      <c r="I41" s="324"/>
      <c r="J41" s="324"/>
      <c r="K41" s="324"/>
      <c r="L41" s="479"/>
      <c r="M41" s="479"/>
      <c r="N41" s="324"/>
      <c r="O41" s="324"/>
      <c r="P41" s="324"/>
      <c r="Q41" s="324"/>
      <c r="R41" s="324"/>
      <c r="S41" s="324"/>
      <c r="T41" s="324"/>
      <c r="U41" s="324"/>
      <c r="V41" s="324"/>
      <c r="W41" s="324"/>
      <c r="X41" s="324"/>
      <c r="Y41" s="324"/>
      <c r="Z41" s="324"/>
      <c r="AA41" s="324"/>
      <c r="AB41" s="324"/>
      <c r="AC41" s="324"/>
      <c r="AD41" s="324"/>
    </row>
    <row r="42" spans="1:30" s="27" customFormat="1">
      <c r="A42" s="133"/>
      <c r="B42" s="37"/>
      <c r="C42" s="37"/>
      <c r="D42" s="109"/>
      <c r="E42" s="5" t="str">
        <f t="shared" si="2"/>
        <v/>
      </c>
      <c r="F42" s="127" t="str">
        <f t="shared" si="0"/>
        <v/>
      </c>
      <c r="G42" s="146" t="str">
        <f t="shared" si="1"/>
        <v/>
      </c>
      <c r="H42" s="324"/>
      <c r="I42" s="324"/>
      <c r="J42" s="324"/>
      <c r="K42" s="324"/>
      <c r="L42" s="479"/>
      <c r="M42" s="479"/>
      <c r="N42" s="324"/>
      <c r="O42" s="324"/>
      <c r="P42" s="324"/>
      <c r="Q42" s="324"/>
      <c r="R42" s="324"/>
      <c r="S42" s="324"/>
      <c r="T42" s="324"/>
      <c r="U42" s="324"/>
      <c r="V42" s="324"/>
      <c r="W42" s="324"/>
      <c r="X42" s="324"/>
      <c r="Y42" s="324"/>
      <c r="Z42" s="324"/>
      <c r="AA42" s="324"/>
      <c r="AB42" s="324"/>
      <c r="AC42" s="324"/>
      <c r="AD42" s="324"/>
    </row>
    <row r="43" spans="1:30" s="27" customFormat="1">
      <c r="A43" s="133"/>
      <c r="B43" s="37"/>
      <c r="C43" s="37"/>
      <c r="D43" s="109"/>
      <c r="E43" s="5" t="str">
        <f t="shared" si="2"/>
        <v/>
      </c>
      <c r="F43" s="127" t="str">
        <f t="shared" si="0"/>
        <v/>
      </c>
      <c r="G43" s="146" t="str">
        <f t="shared" si="1"/>
        <v/>
      </c>
      <c r="H43" s="324"/>
      <c r="I43" s="324"/>
      <c r="J43" s="324"/>
      <c r="K43" s="324"/>
      <c r="L43" s="479"/>
      <c r="M43" s="479"/>
      <c r="N43" s="324"/>
      <c r="O43" s="324"/>
      <c r="P43" s="324"/>
      <c r="Q43" s="324"/>
      <c r="R43" s="324"/>
      <c r="S43" s="324"/>
      <c r="T43" s="324"/>
      <c r="U43" s="324"/>
      <c r="V43" s="324"/>
      <c r="W43" s="324"/>
      <c r="X43" s="324"/>
      <c r="Y43" s="324"/>
      <c r="Z43" s="324"/>
      <c r="AA43" s="324"/>
      <c r="AB43" s="324"/>
      <c r="AC43" s="324"/>
      <c r="AD43" s="324"/>
    </row>
    <row r="44" spans="1:30" s="27" customFormat="1">
      <c r="A44" s="133"/>
      <c r="B44" s="37"/>
      <c r="C44" s="37"/>
      <c r="D44" s="109"/>
      <c r="E44" s="5" t="str">
        <f t="shared" si="2"/>
        <v/>
      </c>
      <c r="F44" s="127" t="str">
        <f t="shared" si="0"/>
        <v/>
      </c>
      <c r="G44" s="146" t="str">
        <f t="shared" si="1"/>
        <v/>
      </c>
      <c r="H44" s="324"/>
      <c r="I44" s="324"/>
      <c r="J44" s="324"/>
      <c r="K44" s="324"/>
      <c r="L44" s="479"/>
      <c r="M44" s="480"/>
      <c r="N44" s="324"/>
      <c r="O44" s="324"/>
      <c r="P44" s="324"/>
      <c r="Q44" s="324"/>
      <c r="R44" s="324"/>
      <c r="S44" s="324"/>
      <c r="T44" s="324"/>
      <c r="U44" s="324"/>
      <c r="V44" s="324"/>
      <c r="W44" s="324"/>
      <c r="X44" s="324"/>
      <c r="Y44" s="324"/>
      <c r="Z44" s="324"/>
      <c r="AA44" s="324"/>
      <c r="AB44" s="324"/>
      <c r="AC44" s="324"/>
      <c r="AD44" s="324"/>
    </row>
    <row r="45" spans="1:30" s="27" customFormat="1">
      <c r="A45" s="133"/>
      <c r="B45" s="37"/>
      <c r="C45" s="37"/>
      <c r="D45" s="109"/>
      <c r="E45" s="5" t="str">
        <f t="shared" si="2"/>
        <v/>
      </c>
      <c r="F45" s="127" t="str">
        <f t="shared" si="0"/>
        <v/>
      </c>
      <c r="G45" s="146" t="str">
        <f t="shared" si="1"/>
        <v/>
      </c>
      <c r="H45" s="324"/>
      <c r="I45" s="324"/>
      <c r="J45" s="324"/>
      <c r="K45" s="324"/>
      <c r="L45" s="479"/>
      <c r="M45" s="480"/>
      <c r="N45" s="324"/>
      <c r="O45" s="324"/>
      <c r="P45" s="324"/>
      <c r="Q45" s="324"/>
      <c r="R45" s="324"/>
      <c r="S45" s="324"/>
      <c r="T45" s="324"/>
      <c r="U45" s="324"/>
      <c r="V45" s="324"/>
      <c r="W45" s="324"/>
      <c r="X45" s="324"/>
      <c r="Y45" s="324"/>
      <c r="Z45" s="324"/>
      <c r="AA45" s="324"/>
      <c r="AB45" s="324"/>
      <c r="AC45" s="324"/>
      <c r="AD45" s="324"/>
    </row>
    <row r="46" spans="1:30" s="27" customFormat="1">
      <c r="A46" s="133"/>
      <c r="B46" s="37"/>
      <c r="C46" s="37"/>
      <c r="D46" s="109"/>
      <c r="E46" s="5" t="str">
        <f t="shared" si="2"/>
        <v/>
      </c>
      <c r="F46" s="127" t="str">
        <f t="shared" si="0"/>
        <v/>
      </c>
      <c r="G46" s="146" t="str">
        <f t="shared" si="1"/>
        <v/>
      </c>
      <c r="H46" s="324"/>
      <c r="I46" s="324"/>
      <c r="J46" s="324"/>
      <c r="K46" s="324"/>
      <c r="L46" s="479"/>
      <c r="M46" s="480"/>
      <c r="N46" s="324"/>
      <c r="O46" s="324"/>
      <c r="P46" s="324"/>
      <c r="Q46" s="324"/>
      <c r="R46" s="324"/>
      <c r="S46" s="324"/>
      <c r="T46" s="324"/>
      <c r="U46" s="324"/>
      <c r="V46" s="324"/>
      <c r="W46" s="324"/>
      <c r="X46" s="324"/>
      <c r="Y46" s="324"/>
      <c r="Z46" s="324"/>
      <c r="AA46" s="324"/>
      <c r="AB46" s="324"/>
      <c r="AC46" s="324"/>
      <c r="AD46" s="324"/>
    </row>
    <row r="47" spans="1:30" s="27" customFormat="1">
      <c r="A47" s="133"/>
      <c r="B47" s="37"/>
      <c r="C47" s="37"/>
      <c r="D47" s="109"/>
      <c r="E47" s="5" t="str">
        <f t="shared" si="2"/>
        <v/>
      </c>
      <c r="F47" s="127" t="str">
        <f t="shared" si="0"/>
        <v/>
      </c>
      <c r="G47" s="146" t="str">
        <f t="shared" si="1"/>
        <v/>
      </c>
      <c r="H47" s="324"/>
      <c r="I47" s="324"/>
      <c r="J47" s="324"/>
      <c r="K47" s="324"/>
      <c r="L47" s="479"/>
      <c r="M47" s="480"/>
      <c r="N47" s="324"/>
      <c r="O47" s="324"/>
      <c r="P47" s="324"/>
      <c r="Q47" s="324"/>
      <c r="R47" s="324"/>
      <c r="S47" s="324"/>
      <c r="T47" s="324"/>
      <c r="U47" s="324"/>
      <c r="V47" s="324"/>
      <c r="W47" s="324"/>
      <c r="X47" s="324"/>
      <c r="Y47" s="324"/>
      <c r="Z47" s="324"/>
      <c r="AA47" s="324"/>
      <c r="AB47" s="324"/>
      <c r="AC47" s="324"/>
      <c r="AD47" s="324"/>
    </row>
    <row r="48" spans="1:30" s="27" customFormat="1">
      <c r="A48" s="133"/>
      <c r="B48" s="37"/>
      <c r="C48" s="37"/>
      <c r="D48" s="109"/>
      <c r="E48" s="5" t="str">
        <f t="shared" si="2"/>
        <v/>
      </c>
      <c r="F48" s="127" t="str">
        <f t="shared" si="0"/>
        <v/>
      </c>
      <c r="G48" s="146" t="str">
        <f t="shared" si="1"/>
        <v/>
      </c>
      <c r="H48" s="324"/>
      <c r="I48" s="324"/>
      <c r="J48" s="324"/>
      <c r="K48" s="324"/>
      <c r="L48" s="476"/>
      <c r="M48" s="476"/>
      <c r="N48" s="324"/>
      <c r="O48" s="324"/>
      <c r="P48" s="324"/>
      <c r="Q48" s="324"/>
      <c r="R48" s="324"/>
      <c r="S48" s="324"/>
      <c r="T48" s="324"/>
      <c r="U48" s="324"/>
      <c r="V48" s="324"/>
      <c r="W48" s="324"/>
      <c r="X48" s="324"/>
      <c r="Y48" s="324"/>
      <c r="Z48" s="324"/>
      <c r="AA48" s="324"/>
      <c r="AB48" s="324"/>
      <c r="AC48" s="324"/>
      <c r="AD48" s="324"/>
    </row>
    <row r="49" spans="1:30" s="27" customFormat="1">
      <c r="A49" s="133"/>
      <c r="B49" s="37"/>
      <c r="C49" s="37"/>
      <c r="D49" s="109"/>
      <c r="E49" s="5" t="str">
        <f t="shared" si="2"/>
        <v/>
      </c>
      <c r="F49" s="127" t="str">
        <f t="shared" si="0"/>
        <v/>
      </c>
      <c r="G49" s="146" t="str">
        <f t="shared" si="1"/>
        <v/>
      </c>
      <c r="H49" s="324"/>
      <c r="I49" s="324"/>
      <c r="J49" s="324"/>
      <c r="K49" s="324"/>
      <c r="L49" s="476"/>
      <c r="M49" s="476"/>
      <c r="N49" s="324"/>
      <c r="O49" s="324"/>
      <c r="P49" s="324"/>
      <c r="Q49" s="324"/>
      <c r="R49" s="324"/>
      <c r="S49" s="324"/>
      <c r="T49" s="324"/>
      <c r="U49" s="324"/>
      <c r="V49" s="324"/>
      <c r="W49" s="324"/>
      <c r="X49" s="324"/>
      <c r="Y49" s="324"/>
      <c r="Z49" s="324"/>
      <c r="AA49" s="324"/>
      <c r="AB49" s="324"/>
      <c r="AC49" s="324"/>
      <c r="AD49" s="324"/>
    </row>
    <row r="50" spans="1:30" s="27" customFormat="1">
      <c r="A50" s="133"/>
      <c r="B50" s="37"/>
      <c r="C50" s="37"/>
      <c r="D50" s="109"/>
      <c r="E50" s="5" t="str">
        <f t="shared" si="2"/>
        <v/>
      </c>
      <c r="F50" s="127" t="str">
        <f t="shared" si="0"/>
        <v/>
      </c>
      <c r="G50" s="146" t="str">
        <f t="shared" si="1"/>
        <v/>
      </c>
      <c r="H50" s="324"/>
      <c r="I50" s="324"/>
      <c r="J50" s="324"/>
      <c r="K50" s="324"/>
      <c r="L50" s="324"/>
      <c r="M50" s="324"/>
      <c r="N50" s="324"/>
      <c r="O50" s="324"/>
      <c r="P50" s="324"/>
      <c r="Q50" s="324"/>
      <c r="R50" s="324"/>
      <c r="S50" s="324"/>
      <c r="T50" s="324"/>
      <c r="U50" s="324"/>
      <c r="V50" s="324"/>
      <c r="W50" s="324"/>
      <c r="X50" s="324"/>
      <c r="Y50" s="324"/>
      <c r="Z50" s="324"/>
      <c r="AA50" s="324"/>
      <c r="AB50" s="324"/>
      <c r="AC50" s="324"/>
      <c r="AD50" s="324"/>
    </row>
    <row r="51" spans="1:30" s="27" customFormat="1">
      <c r="A51" s="133"/>
      <c r="B51" s="37"/>
      <c r="C51" s="37"/>
      <c r="D51" s="109"/>
      <c r="E51" s="5" t="str">
        <f t="shared" si="2"/>
        <v/>
      </c>
      <c r="F51" s="127" t="str">
        <f t="shared" si="0"/>
        <v/>
      </c>
      <c r="G51" s="146" t="str">
        <f t="shared" si="1"/>
        <v/>
      </c>
      <c r="H51" s="324"/>
      <c r="I51" s="324"/>
      <c r="J51" s="324"/>
      <c r="K51" s="324"/>
      <c r="L51" s="476"/>
      <c r="M51" s="476"/>
      <c r="N51" s="324"/>
      <c r="O51" s="324"/>
      <c r="P51" s="324"/>
      <c r="Q51" s="324"/>
      <c r="R51" s="324"/>
      <c r="S51" s="324"/>
      <c r="T51" s="324"/>
      <c r="U51" s="324"/>
      <c r="V51" s="324"/>
      <c r="W51" s="324"/>
      <c r="X51" s="324"/>
      <c r="Y51" s="324"/>
      <c r="Z51" s="324"/>
      <c r="AA51" s="324"/>
      <c r="AB51" s="324"/>
      <c r="AC51" s="324"/>
      <c r="AD51" s="324"/>
    </row>
    <row r="52" spans="1:30" s="27" customFormat="1">
      <c r="A52" s="133"/>
      <c r="B52" s="37"/>
      <c r="C52" s="37"/>
      <c r="D52" s="109"/>
      <c r="E52" s="5" t="str">
        <f t="shared" si="2"/>
        <v/>
      </c>
      <c r="F52" s="127" t="str">
        <f t="shared" si="0"/>
        <v/>
      </c>
      <c r="G52" s="146" t="str">
        <f t="shared" si="1"/>
        <v/>
      </c>
      <c r="H52" s="324"/>
      <c r="I52" s="324"/>
      <c r="J52" s="324"/>
      <c r="K52" s="324"/>
      <c r="L52" s="476"/>
      <c r="M52" s="476"/>
      <c r="N52" s="324"/>
      <c r="O52" s="324"/>
      <c r="P52" s="324"/>
      <c r="Q52" s="324"/>
      <c r="R52" s="324"/>
      <c r="S52" s="324"/>
      <c r="T52" s="324"/>
      <c r="U52" s="324"/>
      <c r="V52" s="324"/>
      <c r="W52" s="324"/>
      <c r="X52" s="324"/>
      <c r="Y52" s="324"/>
      <c r="Z52" s="324"/>
      <c r="AA52" s="324"/>
      <c r="AB52" s="324"/>
      <c r="AC52" s="324"/>
      <c r="AD52" s="324"/>
    </row>
    <row r="53" spans="1:30">
      <c r="A53" s="133"/>
      <c r="B53" s="37"/>
      <c r="C53" s="37"/>
      <c r="D53" s="109"/>
      <c r="E53" s="5" t="str">
        <f t="shared" si="2"/>
        <v/>
      </c>
      <c r="F53" s="127" t="str">
        <f t="shared" si="0"/>
        <v/>
      </c>
      <c r="G53" s="146" t="str">
        <f t="shared" si="1"/>
        <v/>
      </c>
      <c r="H53" s="230"/>
      <c r="I53" s="230"/>
      <c r="J53" s="230"/>
      <c r="K53" s="324"/>
      <c r="L53" s="476"/>
      <c r="M53" s="476"/>
      <c r="N53" s="324"/>
      <c r="O53" s="324"/>
      <c r="P53" s="324"/>
      <c r="Q53" s="324"/>
      <c r="R53" s="324"/>
      <c r="S53" s="324"/>
      <c r="T53" s="324"/>
      <c r="U53" s="230"/>
      <c r="V53" s="230"/>
      <c r="W53" s="230"/>
      <c r="X53" s="230"/>
      <c r="Y53" s="230"/>
      <c r="Z53" s="230"/>
      <c r="AA53" s="230"/>
      <c r="AB53" s="230"/>
      <c r="AC53" s="230"/>
      <c r="AD53" s="230"/>
    </row>
    <row r="54" spans="1:30" ht="13.5" thickBot="1">
      <c r="A54" s="134"/>
      <c r="B54" s="135"/>
      <c r="C54" s="135"/>
      <c r="D54" s="184"/>
      <c r="E54" s="114" t="str">
        <f t="shared" si="2"/>
        <v/>
      </c>
      <c r="F54" s="280" t="str">
        <f t="shared" si="0"/>
        <v/>
      </c>
      <c r="G54" s="147" t="str">
        <f t="shared" si="1"/>
        <v/>
      </c>
      <c r="H54" s="230"/>
      <c r="I54" s="230"/>
      <c r="J54" s="230"/>
      <c r="K54" s="324"/>
      <c r="L54" s="476"/>
      <c r="M54" s="476"/>
      <c r="N54" s="324"/>
      <c r="O54" s="324"/>
      <c r="P54" s="324"/>
      <c r="Q54" s="324"/>
      <c r="R54" s="324"/>
      <c r="S54" s="324"/>
      <c r="T54" s="324"/>
      <c r="U54" s="230"/>
      <c r="V54" s="230"/>
      <c r="W54" s="230"/>
      <c r="X54" s="230"/>
      <c r="Y54" s="230"/>
      <c r="Z54" s="230"/>
      <c r="AA54" s="230"/>
      <c r="AB54" s="230"/>
      <c r="AC54" s="230"/>
      <c r="AD54" s="230"/>
    </row>
    <row r="55" spans="1:30" ht="13.5" thickBot="1">
      <c r="A55" s="167" t="s">
        <v>654</v>
      </c>
      <c r="B55" s="58"/>
      <c r="C55" s="58"/>
      <c r="D55" s="187"/>
      <c r="E55" s="59">
        <f>SUM(E17:E54)</f>
        <v>0</v>
      </c>
      <c r="F55" s="149">
        <f>SUM(F17:F54)</f>
        <v>0</v>
      </c>
      <c r="G55" s="144">
        <f>SUM(G17:G54)</f>
        <v>0</v>
      </c>
      <c r="H55" s="230"/>
      <c r="I55" s="230"/>
      <c r="J55" s="230"/>
      <c r="K55" s="230"/>
      <c r="L55" s="476"/>
      <c r="M55" s="476"/>
      <c r="N55" s="324"/>
      <c r="O55" s="230"/>
      <c r="P55" s="230"/>
      <c r="Q55" s="230"/>
      <c r="R55" s="230"/>
      <c r="S55" s="230"/>
      <c r="T55" s="230"/>
      <c r="U55" s="230"/>
      <c r="V55" s="230"/>
      <c r="W55" s="230"/>
      <c r="X55" s="230"/>
      <c r="Y55" s="230"/>
      <c r="Z55" s="230"/>
      <c r="AA55" s="230"/>
      <c r="AB55" s="230"/>
      <c r="AC55" s="230"/>
      <c r="AD55" s="230"/>
    </row>
    <row r="56" spans="1:30">
      <c r="A56" s="10"/>
      <c r="B56" s="10"/>
      <c r="C56" s="10"/>
      <c r="D56" s="10"/>
      <c r="E56" s="10"/>
      <c r="F56" s="10"/>
      <c r="G56" s="10"/>
      <c r="H56" s="230"/>
      <c r="I56" s="230"/>
      <c r="J56" s="230"/>
      <c r="K56" s="230"/>
      <c r="L56" s="476"/>
      <c r="M56" s="476"/>
      <c r="N56" s="324"/>
      <c r="O56" s="230"/>
      <c r="P56" s="230"/>
      <c r="Q56" s="230"/>
      <c r="R56" s="230"/>
      <c r="S56" s="230"/>
      <c r="T56" s="230"/>
      <c r="U56" s="230"/>
      <c r="V56" s="230"/>
      <c r="W56" s="230"/>
      <c r="X56" s="230"/>
      <c r="Y56" s="230"/>
      <c r="Z56" s="230"/>
      <c r="AA56" s="230"/>
      <c r="AB56" s="230"/>
      <c r="AC56" s="230"/>
      <c r="AD56" s="230"/>
    </row>
    <row r="57" spans="1:30" s="7" customFormat="1" ht="15" thickBot="1">
      <c r="A57" s="13" t="s">
        <v>467</v>
      </c>
      <c r="B57" s="78"/>
      <c r="C57" s="78"/>
      <c r="D57" s="10"/>
      <c r="E57" s="10"/>
      <c r="F57" s="78"/>
      <c r="G57" s="78"/>
      <c r="H57" s="324"/>
      <c r="I57" s="324"/>
      <c r="J57" s="324"/>
      <c r="K57" s="324"/>
      <c r="L57" s="233"/>
      <c r="M57" s="233"/>
      <c r="N57" s="324"/>
      <c r="O57" s="324"/>
      <c r="P57" s="324"/>
      <c r="Q57" s="324"/>
      <c r="R57" s="324"/>
      <c r="S57" s="324"/>
      <c r="T57" s="324"/>
      <c r="U57" s="324"/>
      <c r="V57" s="324"/>
      <c r="W57" s="324"/>
      <c r="X57" s="324"/>
      <c r="Y57" s="324"/>
      <c r="Z57" s="324"/>
      <c r="AA57" s="324"/>
      <c r="AB57" s="324"/>
      <c r="AC57" s="324"/>
      <c r="AD57" s="324"/>
    </row>
    <row r="58" spans="1:30" s="7" customFormat="1" ht="40.5" thickBot="1">
      <c r="A58" s="607" t="s">
        <v>337</v>
      </c>
      <c r="B58" s="608" t="s">
        <v>0</v>
      </c>
      <c r="C58" s="608" t="s">
        <v>145</v>
      </c>
      <c r="D58" s="274" t="s">
        <v>352</v>
      </c>
      <c r="E58" s="274" t="s">
        <v>338</v>
      </c>
      <c r="F58" s="274" t="s">
        <v>353</v>
      </c>
      <c r="G58" s="275" t="s">
        <v>354</v>
      </c>
      <c r="H58" s="324"/>
      <c r="I58" s="324"/>
      <c r="J58" s="324"/>
      <c r="K58" s="324"/>
      <c r="L58" s="233"/>
      <c r="M58" s="233"/>
      <c r="N58" s="230"/>
      <c r="O58" s="324"/>
      <c r="P58" s="324"/>
      <c r="Q58" s="324"/>
      <c r="R58" s="324"/>
      <c r="S58" s="324"/>
      <c r="T58" s="324"/>
      <c r="U58" s="324"/>
      <c r="V58" s="324"/>
      <c r="W58" s="324"/>
      <c r="X58" s="324"/>
      <c r="Y58" s="324"/>
      <c r="Z58" s="324"/>
      <c r="AA58" s="324"/>
      <c r="AB58" s="324"/>
      <c r="AC58" s="324"/>
      <c r="AD58" s="324"/>
    </row>
    <row r="59" spans="1:30" s="7" customFormat="1">
      <c r="A59" s="641" t="s">
        <v>8</v>
      </c>
      <c r="B59" s="642" t="s">
        <v>9</v>
      </c>
      <c r="C59" s="642" t="s">
        <v>1368</v>
      </c>
      <c r="D59" s="643">
        <v>100</v>
      </c>
      <c r="E59" s="643">
        <v>18.5</v>
      </c>
      <c r="F59" s="659">
        <v>0.2</v>
      </c>
      <c r="G59" s="660">
        <v>0.1</v>
      </c>
      <c r="H59" s="324"/>
      <c r="I59" s="324"/>
      <c r="J59" s="324"/>
      <c r="K59" s="324"/>
      <c r="L59" s="233"/>
      <c r="M59" s="233"/>
      <c r="N59" s="230"/>
      <c r="O59" s="324"/>
      <c r="P59" s="324"/>
      <c r="Q59" s="324"/>
      <c r="R59" s="324"/>
      <c r="S59" s="324"/>
      <c r="T59" s="324"/>
      <c r="U59" s="324"/>
      <c r="V59" s="324"/>
      <c r="W59" s="324"/>
      <c r="X59" s="324"/>
      <c r="Y59" s="324"/>
      <c r="Z59" s="324"/>
      <c r="AA59" s="324"/>
      <c r="AB59" s="324"/>
      <c r="AC59" s="324"/>
      <c r="AD59" s="324"/>
    </row>
    <row r="60" spans="1:30" s="7" customFormat="1">
      <c r="A60" s="239"/>
      <c r="B60" s="241"/>
      <c r="C60" s="241"/>
      <c r="D60" s="242"/>
      <c r="E60" s="564" t="str">
        <f t="shared" ref="E60:E107" si="3">IF($C60="","",VLOOKUP($C60,Biz_Travel_Fctr,2,FALSE)*$D60)</f>
        <v/>
      </c>
      <c r="F60" s="235" t="str">
        <f t="shared" ref="F60:F107" si="4">IF($C60="","",VLOOKUP($C60,Biz_Travel_Fctr,3,FALSE)*$D60)</f>
        <v/>
      </c>
      <c r="G60" s="243" t="str">
        <f t="shared" ref="G60:G107" si="5">IF($C60="","",VLOOKUP($C60,Biz_Travel_Fctr,4,FALSE)*$D60)</f>
        <v/>
      </c>
      <c r="H60" s="324"/>
      <c r="I60" s="324"/>
      <c r="J60" s="324"/>
      <c r="K60" s="324"/>
      <c r="L60" s="233"/>
      <c r="M60" s="233"/>
      <c r="N60" s="230"/>
      <c r="O60" s="324"/>
      <c r="P60" s="324"/>
      <c r="Q60" s="324"/>
      <c r="R60" s="324"/>
      <c r="S60" s="324"/>
      <c r="T60" s="324"/>
      <c r="U60" s="324"/>
      <c r="V60" s="324"/>
      <c r="W60" s="324"/>
      <c r="X60" s="324"/>
      <c r="Y60" s="324"/>
      <c r="Z60" s="324"/>
      <c r="AA60" s="324"/>
      <c r="AB60" s="324"/>
      <c r="AC60" s="324"/>
      <c r="AD60" s="324"/>
    </row>
    <row r="61" spans="1:30" s="7" customFormat="1">
      <c r="A61" s="133"/>
      <c r="B61" s="188"/>
      <c r="C61" s="188"/>
      <c r="D61" s="242"/>
      <c r="E61" s="5" t="str">
        <f t="shared" si="3"/>
        <v/>
      </c>
      <c r="F61" s="127" t="str">
        <f t="shared" si="4"/>
        <v/>
      </c>
      <c r="G61" s="146" t="str">
        <f t="shared" si="5"/>
        <v/>
      </c>
      <c r="H61" s="324"/>
      <c r="I61" s="324"/>
      <c r="J61" s="324"/>
      <c r="K61" s="324"/>
      <c r="L61" s="233"/>
      <c r="M61" s="233"/>
      <c r="N61" s="230"/>
      <c r="O61" s="324"/>
      <c r="P61" s="324"/>
      <c r="Q61" s="324"/>
      <c r="R61" s="324"/>
      <c r="S61" s="324"/>
      <c r="T61" s="324"/>
      <c r="U61" s="324"/>
      <c r="V61" s="324"/>
      <c r="W61" s="324"/>
      <c r="X61" s="324"/>
      <c r="Y61" s="324"/>
      <c r="Z61" s="324"/>
      <c r="AA61" s="324"/>
      <c r="AB61" s="324"/>
      <c r="AC61" s="324"/>
      <c r="AD61" s="324"/>
    </row>
    <row r="62" spans="1:30" s="7" customFormat="1">
      <c r="A62" s="133"/>
      <c r="B62" s="188"/>
      <c r="C62" s="188"/>
      <c r="D62" s="242"/>
      <c r="E62" s="5" t="str">
        <f t="shared" si="3"/>
        <v/>
      </c>
      <c r="F62" s="127" t="str">
        <f t="shared" si="4"/>
        <v/>
      </c>
      <c r="G62" s="146" t="str">
        <f t="shared" si="5"/>
        <v/>
      </c>
      <c r="H62" s="324"/>
      <c r="I62" s="324"/>
      <c r="J62" s="324"/>
      <c r="K62" s="324"/>
      <c r="L62" s="233"/>
      <c r="M62" s="233"/>
      <c r="N62" s="230"/>
      <c r="O62" s="324"/>
      <c r="P62" s="324"/>
      <c r="Q62" s="324"/>
      <c r="R62" s="324"/>
      <c r="S62" s="324"/>
      <c r="T62" s="324"/>
      <c r="U62" s="324"/>
      <c r="V62" s="324"/>
      <c r="W62" s="324"/>
      <c r="X62" s="324"/>
      <c r="Y62" s="324"/>
      <c r="Z62" s="324"/>
      <c r="AA62" s="324"/>
      <c r="AB62" s="324"/>
      <c r="AC62" s="324"/>
      <c r="AD62" s="324"/>
    </row>
    <row r="63" spans="1:30" s="7" customFormat="1">
      <c r="A63" s="133"/>
      <c r="B63" s="188"/>
      <c r="C63" s="188"/>
      <c r="D63" s="242"/>
      <c r="E63" s="5" t="str">
        <f t="shared" si="3"/>
        <v/>
      </c>
      <c r="F63" s="127" t="str">
        <f t="shared" si="4"/>
        <v/>
      </c>
      <c r="G63" s="146" t="str">
        <f t="shared" si="5"/>
        <v/>
      </c>
      <c r="H63" s="324"/>
      <c r="I63" s="324"/>
      <c r="J63" s="324"/>
      <c r="K63" s="324"/>
      <c r="L63" s="233"/>
      <c r="M63" s="233"/>
      <c r="N63" s="230"/>
      <c r="O63" s="324"/>
      <c r="P63" s="324"/>
      <c r="Q63" s="324"/>
      <c r="R63" s="324"/>
      <c r="S63" s="324"/>
      <c r="T63" s="324"/>
      <c r="U63" s="324"/>
      <c r="V63" s="324"/>
      <c r="W63" s="324"/>
      <c r="X63" s="324"/>
      <c r="Y63" s="324"/>
      <c r="Z63" s="324"/>
      <c r="AA63" s="324"/>
      <c r="AB63" s="324"/>
      <c r="AC63" s="324"/>
      <c r="AD63" s="324"/>
    </row>
    <row r="64" spans="1:30" s="7" customFormat="1">
      <c r="A64" s="133"/>
      <c r="B64" s="188"/>
      <c r="C64" s="188"/>
      <c r="D64" s="242"/>
      <c r="E64" s="5" t="str">
        <f t="shared" si="3"/>
        <v/>
      </c>
      <c r="F64" s="127" t="str">
        <f t="shared" si="4"/>
        <v/>
      </c>
      <c r="G64" s="146" t="str">
        <f t="shared" si="5"/>
        <v/>
      </c>
      <c r="H64" s="324"/>
      <c r="I64" s="324"/>
      <c r="J64" s="324"/>
      <c r="K64" s="324"/>
      <c r="L64" s="233"/>
      <c r="M64" s="233"/>
      <c r="N64" s="230"/>
      <c r="O64" s="324"/>
      <c r="P64" s="324"/>
      <c r="Q64" s="324"/>
      <c r="R64" s="324"/>
      <c r="S64" s="324"/>
      <c r="T64" s="324"/>
      <c r="U64" s="324"/>
      <c r="V64" s="324"/>
      <c r="W64" s="324"/>
      <c r="X64" s="324"/>
      <c r="Y64" s="324"/>
      <c r="Z64" s="324"/>
      <c r="AA64" s="324"/>
      <c r="AB64" s="324"/>
      <c r="AC64" s="324"/>
      <c r="AD64" s="324"/>
    </row>
    <row r="65" spans="1:30" s="7" customFormat="1">
      <c r="A65" s="133"/>
      <c r="B65" s="188"/>
      <c r="C65" s="188"/>
      <c r="D65" s="242"/>
      <c r="E65" s="5" t="str">
        <f t="shared" si="3"/>
        <v/>
      </c>
      <c r="F65" s="127" t="str">
        <f t="shared" si="4"/>
        <v/>
      </c>
      <c r="G65" s="146" t="str">
        <f t="shared" si="5"/>
        <v/>
      </c>
      <c r="H65" s="324"/>
      <c r="I65" s="324"/>
      <c r="J65" s="324"/>
      <c r="K65" s="324"/>
      <c r="L65" s="233"/>
      <c r="M65" s="233"/>
      <c r="N65" s="230"/>
      <c r="O65" s="324"/>
      <c r="P65" s="324"/>
      <c r="Q65" s="324"/>
      <c r="R65" s="324"/>
      <c r="S65" s="324"/>
      <c r="T65" s="324"/>
      <c r="U65" s="324"/>
      <c r="V65" s="324"/>
      <c r="W65" s="324"/>
      <c r="X65" s="324"/>
      <c r="Y65" s="324"/>
      <c r="Z65" s="324"/>
      <c r="AA65" s="324"/>
      <c r="AB65" s="324"/>
      <c r="AC65" s="324"/>
      <c r="AD65" s="324"/>
    </row>
    <row r="66" spans="1:30" s="7" customFormat="1">
      <c r="A66" s="133"/>
      <c r="B66" s="188"/>
      <c r="C66" s="188"/>
      <c r="D66" s="139"/>
      <c r="E66" s="5" t="str">
        <f t="shared" si="3"/>
        <v/>
      </c>
      <c r="F66" s="127" t="str">
        <f t="shared" si="4"/>
        <v/>
      </c>
      <c r="G66" s="146" t="str">
        <f t="shared" si="5"/>
        <v/>
      </c>
      <c r="H66" s="324"/>
      <c r="I66" s="324"/>
      <c r="J66" s="324"/>
      <c r="K66" s="324"/>
      <c r="L66" s="233"/>
      <c r="M66" s="233"/>
      <c r="N66" s="230"/>
      <c r="O66" s="324"/>
      <c r="P66" s="324"/>
      <c r="Q66" s="324"/>
      <c r="R66" s="324"/>
      <c r="S66" s="324"/>
      <c r="T66" s="324"/>
      <c r="U66" s="324"/>
      <c r="V66" s="324"/>
      <c r="W66" s="324"/>
      <c r="X66" s="324"/>
      <c r="Y66" s="324"/>
      <c r="Z66" s="324"/>
      <c r="AA66" s="324"/>
      <c r="AB66" s="324"/>
      <c r="AC66" s="324"/>
      <c r="AD66" s="324"/>
    </row>
    <row r="67" spans="1:30" s="7" customFormat="1">
      <c r="A67" s="133"/>
      <c r="B67" s="188"/>
      <c r="C67" s="188"/>
      <c r="D67" s="139"/>
      <c r="E67" s="5" t="str">
        <f t="shared" si="3"/>
        <v/>
      </c>
      <c r="F67" s="127" t="str">
        <f t="shared" si="4"/>
        <v/>
      </c>
      <c r="G67" s="146" t="str">
        <f t="shared" si="5"/>
        <v/>
      </c>
      <c r="H67" s="324"/>
      <c r="I67" s="324"/>
      <c r="J67" s="324"/>
      <c r="K67" s="324"/>
      <c r="L67" s="233"/>
      <c r="M67" s="233"/>
      <c r="N67" s="230"/>
      <c r="O67" s="324"/>
      <c r="P67" s="324"/>
      <c r="Q67" s="324"/>
      <c r="R67" s="324"/>
      <c r="S67" s="324"/>
      <c r="T67" s="324"/>
      <c r="U67" s="324"/>
      <c r="V67" s="324"/>
      <c r="W67" s="324"/>
      <c r="X67" s="324"/>
      <c r="Y67" s="324"/>
      <c r="Z67" s="324"/>
      <c r="AA67" s="324"/>
      <c r="AB67" s="324"/>
      <c r="AC67" s="324"/>
      <c r="AD67" s="324"/>
    </row>
    <row r="68" spans="1:30" s="7" customFormat="1">
      <c r="A68" s="133"/>
      <c r="B68" s="188"/>
      <c r="C68" s="188"/>
      <c r="D68" s="139"/>
      <c r="E68" s="5" t="str">
        <f t="shared" si="3"/>
        <v/>
      </c>
      <c r="F68" s="127" t="str">
        <f t="shared" si="4"/>
        <v/>
      </c>
      <c r="G68" s="146" t="str">
        <f t="shared" si="5"/>
        <v/>
      </c>
      <c r="H68" s="324"/>
      <c r="I68" s="324"/>
      <c r="J68" s="324"/>
      <c r="K68" s="324"/>
      <c r="L68" s="233"/>
      <c r="M68" s="233"/>
      <c r="N68" s="230"/>
      <c r="O68" s="324"/>
      <c r="P68" s="324"/>
      <c r="Q68" s="324"/>
      <c r="R68" s="324"/>
      <c r="S68" s="324"/>
      <c r="T68" s="324"/>
      <c r="U68" s="324"/>
      <c r="V68" s="324"/>
      <c r="W68" s="324"/>
      <c r="X68" s="324"/>
      <c r="Y68" s="324"/>
      <c r="Z68" s="324"/>
      <c r="AA68" s="324"/>
      <c r="AB68" s="324"/>
      <c r="AC68" s="324"/>
      <c r="AD68" s="324"/>
    </row>
    <row r="69" spans="1:30" s="7" customFormat="1">
      <c r="A69" s="133"/>
      <c r="B69" s="188"/>
      <c r="C69" s="188"/>
      <c r="D69" s="139"/>
      <c r="E69" s="5" t="str">
        <f t="shared" si="3"/>
        <v/>
      </c>
      <c r="F69" s="127" t="str">
        <f t="shared" si="4"/>
        <v/>
      </c>
      <c r="G69" s="146" t="str">
        <f t="shared" si="5"/>
        <v/>
      </c>
      <c r="H69" s="324"/>
      <c r="I69" s="324"/>
      <c r="J69" s="324"/>
      <c r="K69" s="324"/>
      <c r="L69" s="233"/>
      <c r="M69" s="233"/>
      <c r="N69" s="230"/>
      <c r="O69" s="324"/>
      <c r="P69" s="324"/>
      <c r="Q69" s="324"/>
      <c r="R69" s="324"/>
      <c r="S69" s="324"/>
      <c r="T69" s="324"/>
      <c r="U69" s="324"/>
      <c r="V69" s="324"/>
      <c r="W69" s="324"/>
      <c r="X69" s="324"/>
      <c r="Y69" s="324"/>
      <c r="Z69" s="324"/>
      <c r="AA69" s="324"/>
      <c r="AB69" s="324"/>
      <c r="AC69" s="324"/>
      <c r="AD69" s="324"/>
    </row>
    <row r="70" spans="1:30" s="7" customFormat="1">
      <c r="A70" s="133"/>
      <c r="B70" s="188"/>
      <c r="C70" s="188"/>
      <c r="D70" s="139"/>
      <c r="E70" s="5" t="str">
        <f t="shared" si="3"/>
        <v/>
      </c>
      <c r="F70" s="127" t="str">
        <f t="shared" si="4"/>
        <v/>
      </c>
      <c r="G70" s="146" t="str">
        <f t="shared" si="5"/>
        <v/>
      </c>
      <c r="H70" s="324"/>
      <c r="I70" s="324"/>
      <c r="J70" s="324"/>
      <c r="K70" s="324"/>
      <c r="L70" s="233"/>
      <c r="M70" s="233"/>
      <c r="N70" s="230"/>
      <c r="O70" s="324"/>
      <c r="P70" s="324"/>
      <c r="Q70" s="324"/>
      <c r="R70" s="324"/>
      <c r="S70" s="324"/>
      <c r="T70" s="324"/>
      <c r="U70" s="324"/>
      <c r="V70" s="324"/>
      <c r="W70" s="324"/>
      <c r="X70" s="324"/>
      <c r="Y70" s="324"/>
      <c r="Z70" s="324"/>
      <c r="AA70" s="324"/>
      <c r="AB70" s="324"/>
      <c r="AC70" s="324"/>
      <c r="AD70" s="324"/>
    </row>
    <row r="71" spans="1:30" s="7" customFormat="1">
      <c r="A71" s="133"/>
      <c r="B71" s="188"/>
      <c r="C71" s="188"/>
      <c r="D71" s="139"/>
      <c r="E71" s="5" t="str">
        <f t="shared" si="3"/>
        <v/>
      </c>
      <c r="F71" s="127" t="str">
        <f t="shared" si="4"/>
        <v/>
      </c>
      <c r="G71" s="146" t="str">
        <f t="shared" si="5"/>
        <v/>
      </c>
      <c r="H71" s="324"/>
      <c r="I71" s="324"/>
      <c r="J71" s="324"/>
      <c r="K71" s="324"/>
      <c r="L71" s="233"/>
      <c r="M71" s="233"/>
      <c r="N71" s="230"/>
      <c r="O71" s="324"/>
      <c r="P71" s="324"/>
      <c r="Q71" s="324"/>
      <c r="R71" s="324"/>
      <c r="S71" s="324"/>
      <c r="T71" s="324"/>
      <c r="U71" s="324"/>
      <c r="V71" s="324"/>
      <c r="W71" s="324"/>
      <c r="X71" s="324"/>
      <c r="Y71" s="324"/>
      <c r="Z71" s="324"/>
      <c r="AA71" s="324"/>
      <c r="AB71" s="324"/>
      <c r="AC71" s="324"/>
      <c r="AD71" s="324"/>
    </row>
    <row r="72" spans="1:30" s="7" customFormat="1">
      <c r="A72" s="133"/>
      <c r="B72" s="188"/>
      <c r="C72" s="188"/>
      <c r="D72" s="139"/>
      <c r="E72" s="5" t="str">
        <f t="shared" si="3"/>
        <v/>
      </c>
      <c r="F72" s="127" t="str">
        <f t="shared" si="4"/>
        <v/>
      </c>
      <c r="G72" s="146" t="str">
        <f t="shared" si="5"/>
        <v/>
      </c>
      <c r="H72" s="324"/>
      <c r="I72" s="324"/>
      <c r="J72" s="324"/>
      <c r="K72" s="324"/>
      <c r="L72" s="233"/>
      <c r="M72" s="233"/>
      <c r="N72" s="230"/>
      <c r="O72" s="324"/>
      <c r="P72" s="324"/>
      <c r="Q72" s="324"/>
      <c r="R72" s="324"/>
      <c r="S72" s="324"/>
      <c r="T72" s="324"/>
      <c r="U72" s="324"/>
      <c r="V72" s="324"/>
      <c r="W72" s="324"/>
      <c r="X72" s="324"/>
      <c r="Y72" s="324"/>
      <c r="Z72" s="324"/>
      <c r="AA72" s="324"/>
      <c r="AB72" s="324"/>
      <c r="AC72" s="324"/>
      <c r="AD72" s="324"/>
    </row>
    <row r="73" spans="1:30" s="7" customFormat="1">
      <c r="A73" s="133"/>
      <c r="B73" s="188"/>
      <c r="C73" s="188"/>
      <c r="D73" s="139"/>
      <c r="E73" s="5" t="str">
        <f t="shared" si="3"/>
        <v/>
      </c>
      <c r="F73" s="127" t="str">
        <f t="shared" si="4"/>
        <v/>
      </c>
      <c r="G73" s="146" t="str">
        <f t="shared" si="5"/>
        <v/>
      </c>
      <c r="H73" s="324"/>
      <c r="I73" s="324"/>
      <c r="J73" s="324"/>
      <c r="K73" s="324"/>
      <c r="L73" s="233"/>
      <c r="M73" s="233"/>
      <c r="N73" s="230"/>
      <c r="O73" s="324"/>
      <c r="P73" s="324"/>
      <c r="Q73" s="324"/>
      <c r="R73" s="324"/>
      <c r="S73" s="324"/>
      <c r="T73" s="324"/>
      <c r="U73" s="324"/>
      <c r="V73" s="324"/>
      <c r="W73" s="324"/>
      <c r="X73" s="324"/>
      <c r="Y73" s="324"/>
      <c r="Z73" s="324"/>
      <c r="AA73" s="324"/>
      <c r="AB73" s="324"/>
      <c r="AC73" s="324"/>
      <c r="AD73" s="324"/>
    </row>
    <row r="74" spans="1:30" s="7" customFormat="1">
      <c r="A74" s="133"/>
      <c r="B74" s="188"/>
      <c r="C74" s="188"/>
      <c r="D74" s="139"/>
      <c r="E74" s="5" t="str">
        <f t="shared" si="3"/>
        <v/>
      </c>
      <c r="F74" s="127" t="str">
        <f t="shared" si="4"/>
        <v/>
      </c>
      <c r="G74" s="146" t="str">
        <f t="shared" si="5"/>
        <v/>
      </c>
      <c r="H74" s="324"/>
      <c r="I74" s="324"/>
      <c r="J74" s="324"/>
      <c r="K74" s="324"/>
      <c r="L74" s="233"/>
      <c r="M74" s="233"/>
      <c r="N74" s="230"/>
      <c r="O74" s="324"/>
      <c r="P74" s="324"/>
      <c r="Q74" s="324"/>
      <c r="R74" s="324"/>
      <c r="S74" s="324"/>
      <c r="T74" s="324"/>
      <c r="U74" s="324"/>
      <c r="V74" s="324"/>
      <c r="W74" s="324"/>
      <c r="X74" s="324"/>
      <c r="Y74" s="324"/>
      <c r="Z74" s="324"/>
      <c r="AA74" s="324"/>
      <c r="AB74" s="324"/>
      <c r="AC74" s="324"/>
      <c r="AD74" s="324"/>
    </row>
    <row r="75" spans="1:30" s="7" customFormat="1">
      <c r="A75" s="133"/>
      <c r="B75" s="188"/>
      <c r="C75" s="188"/>
      <c r="D75" s="139"/>
      <c r="E75" s="5" t="str">
        <f t="shared" si="3"/>
        <v/>
      </c>
      <c r="F75" s="127" t="str">
        <f t="shared" si="4"/>
        <v/>
      </c>
      <c r="G75" s="146" t="str">
        <f t="shared" si="5"/>
        <v/>
      </c>
      <c r="H75" s="324"/>
      <c r="I75" s="324"/>
      <c r="J75" s="324"/>
      <c r="K75" s="324"/>
      <c r="L75" s="233"/>
      <c r="M75" s="233"/>
      <c r="N75" s="230"/>
      <c r="O75" s="324"/>
      <c r="P75" s="324"/>
      <c r="Q75" s="324"/>
      <c r="R75" s="324"/>
      <c r="S75" s="324"/>
      <c r="T75" s="324"/>
      <c r="U75" s="324"/>
      <c r="V75" s="324"/>
      <c r="W75" s="324"/>
      <c r="X75" s="324"/>
      <c r="Y75" s="324"/>
      <c r="Z75" s="324"/>
      <c r="AA75" s="324"/>
      <c r="AB75" s="324"/>
      <c r="AC75" s="324"/>
      <c r="AD75" s="324"/>
    </row>
    <row r="76" spans="1:30" s="7" customFormat="1">
      <c r="A76" s="133"/>
      <c r="B76" s="188"/>
      <c r="C76" s="188"/>
      <c r="D76" s="139"/>
      <c r="E76" s="5" t="str">
        <f t="shared" si="3"/>
        <v/>
      </c>
      <c r="F76" s="127" t="str">
        <f t="shared" si="4"/>
        <v/>
      </c>
      <c r="G76" s="146" t="str">
        <f t="shared" si="5"/>
        <v/>
      </c>
      <c r="H76" s="324"/>
      <c r="I76" s="324"/>
      <c r="J76" s="324"/>
      <c r="K76" s="324"/>
      <c r="L76" s="233"/>
      <c r="M76" s="233"/>
      <c r="N76" s="230"/>
      <c r="O76" s="324"/>
      <c r="P76" s="324"/>
      <c r="Q76" s="324"/>
      <c r="R76" s="324"/>
      <c r="S76" s="324"/>
      <c r="T76" s="324"/>
      <c r="U76" s="324"/>
      <c r="V76" s="324"/>
      <c r="W76" s="324"/>
      <c r="X76" s="324"/>
      <c r="Y76" s="324"/>
      <c r="Z76" s="324"/>
      <c r="AA76" s="324"/>
      <c r="AB76" s="324"/>
      <c r="AC76" s="324"/>
      <c r="AD76" s="324"/>
    </row>
    <row r="77" spans="1:30" s="7" customFormat="1">
      <c r="A77" s="133"/>
      <c r="B77" s="188"/>
      <c r="C77" s="188"/>
      <c r="D77" s="139"/>
      <c r="E77" s="5" t="str">
        <f t="shared" si="3"/>
        <v/>
      </c>
      <c r="F77" s="127" t="str">
        <f t="shared" si="4"/>
        <v/>
      </c>
      <c r="G77" s="146" t="str">
        <f t="shared" si="5"/>
        <v/>
      </c>
      <c r="H77" s="324"/>
      <c r="I77" s="324"/>
      <c r="J77" s="324"/>
      <c r="K77" s="324"/>
      <c r="L77" s="233"/>
      <c r="M77" s="233"/>
      <c r="N77" s="230"/>
      <c r="O77" s="324"/>
      <c r="P77" s="324"/>
      <c r="Q77" s="324"/>
      <c r="R77" s="324"/>
      <c r="S77" s="324"/>
      <c r="T77" s="324"/>
      <c r="U77" s="324"/>
      <c r="V77" s="324"/>
      <c r="W77" s="324"/>
      <c r="X77" s="324"/>
      <c r="Y77" s="324"/>
      <c r="Z77" s="324"/>
      <c r="AA77" s="324"/>
      <c r="AB77" s="324"/>
      <c r="AC77" s="324"/>
      <c r="AD77" s="324"/>
    </row>
    <row r="78" spans="1:30" s="7" customFormat="1">
      <c r="A78" s="133"/>
      <c r="B78" s="188"/>
      <c r="C78" s="188"/>
      <c r="D78" s="139"/>
      <c r="E78" s="5" t="str">
        <f t="shared" si="3"/>
        <v/>
      </c>
      <c r="F78" s="127" t="str">
        <f t="shared" si="4"/>
        <v/>
      </c>
      <c r="G78" s="146" t="str">
        <f t="shared" si="5"/>
        <v/>
      </c>
      <c r="H78" s="324"/>
      <c r="I78" s="324"/>
      <c r="J78" s="324"/>
      <c r="K78" s="324"/>
      <c r="L78" s="233"/>
      <c r="M78" s="233"/>
      <c r="N78" s="230"/>
      <c r="O78" s="324"/>
      <c r="P78" s="324"/>
      <c r="Q78" s="324"/>
      <c r="R78" s="324"/>
      <c r="S78" s="324"/>
      <c r="T78" s="324"/>
      <c r="U78" s="324"/>
      <c r="V78" s="324"/>
      <c r="W78" s="324"/>
      <c r="X78" s="324"/>
      <c r="Y78" s="324"/>
      <c r="Z78" s="324"/>
      <c r="AA78" s="324"/>
      <c r="AB78" s="324"/>
      <c r="AC78" s="324"/>
      <c r="AD78" s="324"/>
    </row>
    <row r="79" spans="1:30" s="7" customFormat="1">
      <c r="A79" s="133"/>
      <c r="B79" s="188"/>
      <c r="C79" s="188"/>
      <c r="D79" s="139"/>
      <c r="E79" s="5" t="str">
        <f t="shared" si="3"/>
        <v/>
      </c>
      <c r="F79" s="127" t="str">
        <f t="shared" si="4"/>
        <v/>
      </c>
      <c r="G79" s="146" t="str">
        <f t="shared" si="5"/>
        <v/>
      </c>
      <c r="H79" s="324"/>
      <c r="I79" s="324"/>
      <c r="J79" s="324"/>
      <c r="K79" s="324"/>
      <c r="L79" s="233"/>
      <c r="M79" s="233"/>
      <c r="N79" s="230"/>
      <c r="O79" s="324"/>
      <c r="P79" s="324"/>
      <c r="Q79" s="324"/>
      <c r="R79" s="324"/>
      <c r="S79" s="324"/>
      <c r="T79" s="324"/>
      <c r="U79" s="324"/>
      <c r="V79" s="324"/>
      <c r="W79" s="324"/>
      <c r="X79" s="324"/>
      <c r="Y79" s="324"/>
      <c r="Z79" s="324"/>
      <c r="AA79" s="324"/>
      <c r="AB79" s="324"/>
      <c r="AC79" s="324"/>
      <c r="AD79" s="324"/>
    </row>
    <row r="80" spans="1:30" s="7" customFormat="1">
      <c r="A80" s="133"/>
      <c r="B80" s="188"/>
      <c r="C80" s="188"/>
      <c r="D80" s="139"/>
      <c r="E80" s="5" t="str">
        <f t="shared" si="3"/>
        <v/>
      </c>
      <c r="F80" s="127" t="str">
        <f t="shared" si="4"/>
        <v/>
      </c>
      <c r="G80" s="146" t="str">
        <f t="shared" si="5"/>
        <v/>
      </c>
      <c r="H80" s="324"/>
      <c r="I80" s="324"/>
      <c r="J80" s="324"/>
      <c r="K80" s="324"/>
      <c r="L80" s="233"/>
      <c r="M80" s="233"/>
      <c r="N80" s="230"/>
      <c r="O80" s="324"/>
      <c r="P80" s="324"/>
      <c r="Q80" s="324"/>
      <c r="R80" s="324"/>
      <c r="S80" s="324"/>
      <c r="T80" s="324"/>
      <c r="U80" s="324"/>
      <c r="V80" s="324"/>
      <c r="W80" s="324"/>
      <c r="X80" s="324"/>
      <c r="Y80" s="324"/>
      <c r="Z80" s="324"/>
      <c r="AA80" s="324"/>
      <c r="AB80" s="324"/>
      <c r="AC80" s="324"/>
      <c r="AD80" s="324"/>
    </row>
    <row r="81" spans="1:30" s="7" customFormat="1">
      <c r="A81" s="133"/>
      <c r="B81" s="188"/>
      <c r="C81" s="188"/>
      <c r="D81" s="139"/>
      <c r="E81" s="5" t="str">
        <f t="shared" si="3"/>
        <v/>
      </c>
      <c r="F81" s="127" t="str">
        <f t="shared" si="4"/>
        <v/>
      </c>
      <c r="G81" s="146" t="str">
        <f t="shared" si="5"/>
        <v/>
      </c>
      <c r="H81" s="324"/>
      <c r="I81" s="324"/>
      <c r="J81" s="324"/>
      <c r="K81" s="324"/>
      <c r="L81" s="233"/>
      <c r="M81" s="233"/>
      <c r="N81" s="230"/>
      <c r="O81" s="324"/>
      <c r="P81" s="324"/>
      <c r="Q81" s="324"/>
      <c r="R81" s="324"/>
      <c r="S81" s="324"/>
      <c r="T81" s="324"/>
      <c r="U81" s="324"/>
      <c r="V81" s="324"/>
      <c r="W81" s="324"/>
      <c r="X81" s="324"/>
      <c r="Y81" s="324"/>
      <c r="Z81" s="324"/>
      <c r="AA81" s="324"/>
      <c r="AB81" s="324"/>
      <c r="AC81" s="324"/>
      <c r="AD81" s="324"/>
    </row>
    <row r="82" spans="1:30" s="7" customFormat="1">
      <c r="A82" s="133"/>
      <c r="B82" s="188"/>
      <c r="C82" s="188"/>
      <c r="D82" s="139"/>
      <c r="E82" s="5" t="str">
        <f t="shared" si="3"/>
        <v/>
      </c>
      <c r="F82" s="127" t="str">
        <f t="shared" si="4"/>
        <v/>
      </c>
      <c r="G82" s="146" t="str">
        <f t="shared" si="5"/>
        <v/>
      </c>
      <c r="H82" s="324"/>
      <c r="I82" s="324"/>
      <c r="J82" s="324"/>
      <c r="K82" s="324"/>
      <c r="L82" s="233"/>
      <c r="M82" s="233"/>
      <c r="N82" s="230"/>
      <c r="O82" s="324"/>
      <c r="P82" s="324"/>
      <c r="Q82" s="324"/>
      <c r="R82" s="324"/>
      <c r="S82" s="324"/>
      <c r="T82" s="324"/>
      <c r="U82" s="324"/>
      <c r="V82" s="324"/>
      <c r="W82" s="324"/>
      <c r="X82" s="324"/>
      <c r="Y82" s="324"/>
      <c r="Z82" s="324"/>
      <c r="AA82" s="324"/>
      <c r="AB82" s="324"/>
      <c r="AC82" s="324"/>
      <c r="AD82" s="324"/>
    </row>
    <row r="83" spans="1:30" s="7" customFormat="1">
      <c r="A83" s="133"/>
      <c r="B83" s="188"/>
      <c r="C83" s="188"/>
      <c r="D83" s="139"/>
      <c r="E83" s="5" t="str">
        <f t="shared" si="3"/>
        <v/>
      </c>
      <c r="F83" s="127" t="str">
        <f t="shared" si="4"/>
        <v/>
      </c>
      <c r="G83" s="146" t="str">
        <f t="shared" si="5"/>
        <v/>
      </c>
      <c r="H83" s="324"/>
      <c r="I83" s="324"/>
      <c r="J83" s="324"/>
      <c r="K83" s="324"/>
      <c r="L83" s="233"/>
      <c r="M83" s="233"/>
      <c r="N83" s="230"/>
      <c r="O83" s="324"/>
      <c r="P83" s="324"/>
      <c r="Q83" s="324"/>
      <c r="R83" s="324"/>
      <c r="S83" s="324"/>
      <c r="T83" s="324"/>
      <c r="U83" s="324"/>
      <c r="V83" s="324"/>
      <c r="W83" s="324"/>
      <c r="X83" s="324"/>
      <c r="Y83" s="324"/>
      <c r="Z83" s="324"/>
      <c r="AA83" s="324"/>
      <c r="AB83" s="324"/>
      <c r="AC83" s="324"/>
      <c r="AD83" s="324"/>
    </row>
    <row r="84" spans="1:30" s="7" customFormat="1">
      <c r="A84" s="133"/>
      <c r="B84" s="188"/>
      <c r="C84" s="188"/>
      <c r="D84" s="139"/>
      <c r="E84" s="5" t="str">
        <f t="shared" si="3"/>
        <v/>
      </c>
      <c r="F84" s="127" t="str">
        <f t="shared" si="4"/>
        <v/>
      </c>
      <c r="G84" s="146" t="str">
        <f t="shared" si="5"/>
        <v/>
      </c>
      <c r="H84" s="324"/>
      <c r="I84" s="324"/>
      <c r="J84" s="324"/>
      <c r="K84" s="324"/>
      <c r="L84" s="233"/>
      <c r="M84" s="233"/>
      <c r="N84" s="230"/>
      <c r="O84" s="324"/>
      <c r="P84" s="324"/>
      <c r="Q84" s="324"/>
      <c r="R84" s="324"/>
      <c r="S84" s="324"/>
      <c r="T84" s="324"/>
      <c r="U84" s="324"/>
      <c r="V84" s="324"/>
      <c r="W84" s="324"/>
      <c r="X84" s="324"/>
      <c r="Y84" s="324"/>
      <c r="Z84" s="324"/>
      <c r="AA84" s="324"/>
      <c r="AB84" s="324"/>
      <c r="AC84" s="324"/>
      <c r="AD84" s="324"/>
    </row>
    <row r="85" spans="1:30" s="7" customFormat="1">
      <c r="A85" s="133"/>
      <c r="B85" s="188"/>
      <c r="C85" s="188"/>
      <c r="D85" s="139"/>
      <c r="E85" s="5" t="str">
        <f t="shared" si="3"/>
        <v/>
      </c>
      <c r="F85" s="127" t="str">
        <f t="shared" si="4"/>
        <v/>
      </c>
      <c r="G85" s="146" t="str">
        <f t="shared" si="5"/>
        <v/>
      </c>
      <c r="H85" s="324"/>
      <c r="I85" s="324"/>
      <c r="J85" s="324"/>
      <c r="K85" s="324"/>
      <c r="L85" s="233"/>
      <c r="M85" s="233"/>
      <c r="N85" s="230"/>
      <c r="O85" s="324"/>
      <c r="P85" s="324"/>
      <c r="Q85" s="324"/>
      <c r="R85" s="324"/>
      <c r="S85" s="324"/>
      <c r="T85" s="324"/>
      <c r="U85" s="324"/>
      <c r="V85" s="324"/>
      <c r="W85" s="324"/>
      <c r="X85" s="324"/>
      <c r="Y85" s="324"/>
      <c r="Z85" s="324"/>
      <c r="AA85" s="324"/>
      <c r="AB85" s="324"/>
      <c r="AC85" s="324"/>
      <c r="AD85" s="324"/>
    </row>
    <row r="86" spans="1:30" s="7" customFormat="1">
      <c r="A86" s="133"/>
      <c r="B86" s="188"/>
      <c r="C86" s="188"/>
      <c r="D86" s="139"/>
      <c r="E86" s="5" t="str">
        <f t="shared" si="3"/>
        <v/>
      </c>
      <c r="F86" s="127" t="str">
        <f t="shared" si="4"/>
        <v/>
      </c>
      <c r="G86" s="146" t="str">
        <f t="shared" si="5"/>
        <v/>
      </c>
      <c r="H86" s="324"/>
      <c r="I86" s="324"/>
      <c r="J86" s="324"/>
      <c r="K86" s="324"/>
      <c r="L86" s="233"/>
      <c r="M86" s="233"/>
      <c r="N86" s="230"/>
      <c r="O86" s="324"/>
      <c r="P86" s="324"/>
      <c r="Q86" s="324"/>
      <c r="R86" s="324"/>
      <c r="S86" s="324"/>
      <c r="T86" s="324"/>
      <c r="U86" s="324"/>
      <c r="V86" s="324"/>
      <c r="W86" s="324"/>
      <c r="X86" s="324"/>
      <c r="Y86" s="324"/>
      <c r="Z86" s="324"/>
      <c r="AA86" s="324"/>
      <c r="AB86" s="324"/>
      <c r="AC86" s="324"/>
      <c r="AD86" s="324"/>
    </row>
    <row r="87" spans="1:30" s="7" customFormat="1">
      <c r="A87" s="133"/>
      <c r="B87" s="188"/>
      <c r="C87" s="188"/>
      <c r="D87" s="139"/>
      <c r="E87" s="5" t="str">
        <f t="shared" si="3"/>
        <v/>
      </c>
      <c r="F87" s="127" t="str">
        <f t="shared" si="4"/>
        <v/>
      </c>
      <c r="G87" s="146" t="str">
        <f t="shared" si="5"/>
        <v/>
      </c>
      <c r="H87" s="324"/>
      <c r="I87" s="324"/>
      <c r="J87" s="324"/>
      <c r="K87" s="324"/>
      <c r="L87" s="233"/>
      <c r="M87" s="233"/>
      <c r="N87" s="230"/>
      <c r="O87" s="324"/>
      <c r="P87" s="324"/>
      <c r="Q87" s="324"/>
      <c r="R87" s="324"/>
      <c r="S87" s="324"/>
      <c r="T87" s="324"/>
      <c r="U87" s="324"/>
      <c r="V87" s="324"/>
      <c r="W87" s="324"/>
      <c r="X87" s="324"/>
      <c r="Y87" s="324"/>
      <c r="Z87" s="324"/>
      <c r="AA87" s="324"/>
      <c r="AB87" s="324"/>
      <c r="AC87" s="324"/>
      <c r="AD87" s="324"/>
    </row>
    <row r="88" spans="1:30" s="7" customFormat="1">
      <c r="A88" s="133"/>
      <c r="B88" s="188"/>
      <c r="C88" s="188"/>
      <c r="D88" s="139"/>
      <c r="E88" s="5" t="str">
        <f t="shared" si="3"/>
        <v/>
      </c>
      <c r="F88" s="127" t="str">
        <f t="shared" si="4"/>
        <v/>
      </c>
      <c r="G88" s="146" t="str">
        <f t="shared" si="5"/>
        <v/>
      </c>
      <c r="H88" s="324"/>
      <c r="I88" s="324"/>
      <c r="J88" s="324"/>
      <c r="K88" s="324"/>
      <c r="L88" s="233"/>
      <c r="M88" s="233"/>
      <c r="N88" s="230"/>
      <c r="O88" s="324"/>
      <c r="P88" s="324"/>
      <c r="Q88" s="324"/>
      <c r="R88" s="324"/>
      <c r="S88" s="324"/>
      <c r="T88" s="324"/>
      <c r="U88" s="324"/>
      <c r="V88" s="324"/>
      <c r="W88" s="324"/>
      <c r="X88" s="324"/>
      <c r="Y88" s="324"/>
      <c r="Z88" s="324"/>
      <c r="AA88" s="324"/>
      <c r="AB88" s="324"/>
      <c r="AC88" s="324"/>
      <c r="AD88" s="324"/>
    </row>
    <row r="89" spans="1:30" s="7" customFormat="1">
      <c r="A89" s="133"/>
      <c r="B89" s="188"/>
      <c r="C89" s="188"/>
      <c r="D89" s="139"/>
      <c r="E89" s="5" t="str">
        <f t="shared" si="3"/>
        <v/>
      </c>
      <c r="F89" s="127" t="str">
        <f t="shared" si="4"/>
        <v/>
      </c>
      <c r="G89" s="146" t="str">
        <f t="shared" si="5"/>
        <v/>
      </c>
      <c r="H89" s="324"/>
      <c r="I89" s="324"/>
      <c r="J89" s="324"/>
      <c r="K89" s="324"/>
      <c r="L89" s="233"/>
      <c r="M89" s="233"/>
      <c r="N89" s="230"/>
      <c r="O89" s="324"/>
      <c r="P89" s="324"/>
      <c r="Q89" s="324"/>
      <c r="R89" s="324"/>
      <c r="S89" s="324"/>
      <c r="T89" s="324"/>
      <c r="U89" s="324"/>
      <c r="V89" s="324"/>
      <c r="W89" s="324"/>
      <c r="X89" s="324"/>
      <c r="Y89" s="324"/>
      <c r="Z89" s="324"/>
      <c r="AA89" s="324"/>
      <c r="AB89" s="324"/>
      <c r="AC89" s="324"/>
      <c r="AD89" s="324"/>
    </row>
    <row r="90" spans="1:30" s="7" customFormat="1">
      <c r="A90" s="133"/>
      <c r="B90" s="188"/>
      <c r="C90" s="188"/>
      <c r="D90" s="139"/>
      <c r="E90" s="5" t="str">
        <f t="shared" si="3"/>
        <v/>
      </c>
      <c r="F90" s="127" t="str">
        <f t="shared" si="4"/>
        <v/>
      </c>
      <c r="G90" s="146" t="str">
        <f t="shared" si="5"/>
        <v/>
      </c>
      <c r="H90" s="324"/>
      <c r="I90" s="324"/>
      <c r="J90" s="324"/>
      <c r="K90" s="324"/>
      <c r="L90" s="233"/>
      <c r="M90" s="233"/>
      <c r="N90" s="230"/>
      <c r="O90" s="324"/>
      <c r="P90" s="324"/>
      <c r="Q90" s="324"/>
      <c r="R90" s="324"/>
      <c r="S90" s="324"/>
      <c r="T90" s="324"/>
      <c r="U90" s="324"/>
      <c r="V90" s="324"/>
      <c r="W90" s="324"/>
      <c r="X90" s="324"/>
      <c r="Y90" s="324"/>
      <c r="Z90" s="324"/>
      <c r="AA90" s="324"/>
      <c r="AB90" s="324"/>
      <c r="AC90" s="324"/>
      <c r="AD90" s="324"/>
    </row>
    <row r="91" spans="1:30" s="7" customFormat="1">
      <c r="A91" s="133"/>
      <c r="B91" s="188"/>
      <c r="C91" s="188"/>
      <c r="D91" s="139"/>
      <c r="E91" s="5" t="str">
        <f t="shared" si="3"/>
        <v/>
      </c>
      <c r="F91" s="127" t="str">
        <f t="shared" si="4"/>
        <v/>
      </c>
      <c r="G91" s="146" t="str">
        <f t="shared" si="5"/>
        <v/>
      </c>
      <c r="H91" s="324"/>
      <c r="I91" s="324"/>
      <c r="J91" s="324"/>
      <c r="K91" s="324"/>
      <c r="L91" s="233"/>
      <c r="M91" s="233"/>
      <c r="N91" s="230"/>
      <c r="O91" s="324"/>
      <c r="P91" s="324"/>
      <c r="Q91" s="324"/>
      <c r="R91" s="324"/>
      <c r="S91" s="324"/>
      <c r="T91" s="324"/>
      <c r="U91" s="324"/>
      <c r="V91" s="324"/>
      <c r="W91" s="324"/>
      <c r="X91" s="324"/>
      <c r="Y91" s="324"/>
      <c r="Z91" s="324"/>
      <c r="AA91" s="324"/>
      <c r="AB91" s="324"/>
      <c r="AC91" s="324"/>
      <c r="AD91" s="324"/>
    </row>
    <row r="92" spans="1:30" s="7" customFormat="1">
      <c r="A92" s="133"/>
      <c r="B92" s="188"/>
      <c r="C92" s="188"/>
      <c r="D92" s="139"/>
      <c r="E92" s="5" t="str">
        <f t="shared" si="3"/>
        <v/>
      </c>
      <c r="F92" s="127" t="str">
        <f t="shared" si="4"/>
        <v/>
      </c>
      <c r="G92" s="146" t="str">
        <f t="shared" si="5"/>
        <v/>
      </c>
      <c r="H92" s="324"/>
      <c r="I92" s="324"/>
      <c r="J92" s="324"/>
      <c r="K92" s="324"/>
      <c r="L92" s="233"/>
      <c r="M92" s="233"/>
      <c r="N92" s="230"/>
      <c r="O92" s="324"/>
      <c r="P92" s="324"/>
      <c r="Q92" s="324"/>
      <c r="R92" s="324"/>
      <c r="S92" s="324"/>
      <c r="T92" s="324"/>
      <c r="U92" s="324"/>
      <c r="V92" s="324"/>
      <c r="W92" s="324"/>
      <c r="X92" s="324"/>
      <c r="Y92" s="324"/>
      <c r="Z92" s="324"/>
      <c r="AA92" s="324"/>
      <c r="AB92" s="324"/>
      <c r="AC92" s="324"/>
      <c r="AD92" s="324"/>
    </row>
    <row r="93" spans="1:30" s="7" customFormat="1">
      <c r="A93" s="133"/>
      <c r="B93" s="188"/>
      <c r="C93" s="188"/>
      <c r="D93" s="139"/>
      <c r="E93" s="5" t="str">
        <f t="shared" si="3"/>
        <v/>
      </c>
      <c r="F93" s="127" t="str">
        <f t="shared" si="4"/>
        <v/>
      </c>
      <c r="G93" s="146" t="str">
        <f t="shared" si="5"/>
        <v/>
      </c>
      <c r="H93" s="324"/>
      <c r="I93" s="324"/>
      <c r="J93" s="324"/>
      <c r="K93" s="324"/>
      <c r="L93" s="233"/>
      <c r="M93" s="233"/>
      <c r="N93" s="230"/>
      <c r="O93" s="324"/>
      <c r="P93" s="324"/>
      <c r="Q93" s="324"/>
      <c r="R93" s="324"/>
      <c r="S93" s="324"/>
      <c r="T93" s="324"/>
      <c r="U93" s="324"/>
      <c r="V93" s="324"/>
      <c r="W93" s="324"/>
      <c r="X93" s="324"/>
      <c r="Y93" s="324"/>
      <c r="Z93" s="324"/>
      <c r="AA93" s="324"/>
      <c r="AB93" s="324"/>
      <c r="AC93" s="324"/>
      <c r="AD93" s="324"/>
    </row>
    <row r="94" spans="1:30" s="7" customFormat="1">
      <c r="A94" s="133"/>
      <c r="B94" s="188"/>
      <c r="C94" s="188"/>
      <c r="D94" s="139"/>
      <c r="E94" s="5" t="str">
        <f t="shared" si="3"/>
        <v/>
      </c>
      <c r="F94" s="127" t="str">
        <f t="shared" si="4"/>
        <v/>
      </c>
      <c r="G94" s="146" t="str">
        <f t="shared" si="5"/>
        <v/>
      </c>
      <c r="H94" s="324"/>
      <c r="I94" s="324"/>
      <c r="J94" s="324"/>
      <c r="K94" s="324"/>
      <c r="L94" s="233"/>
      <c r="M94" s="233"/>
      <c r="N94" s="230"/>
      <c r="O94" s="324"/>
      <c r="P94" s="324"/>
      <c r="Q94" s="324"/>
      <c r="R94" s="324"/>
      <c r="S94" s="324"/>
      <c r="T94" s="324"/>
      <c r="U94" s="324"/>
      <c r="V94" s="324"/>
      <c r="W94" s="324"/>
      <c r="X94" s="324"/>
      <c r="Y94" s="324"/>
      <c r="Z94" s="324"/>
      <c r="AA94" s="324"/>
      <c r="AB94" s="324"/>
      <c r="AC94" s="324"/>
      <c r="AD94" s="324"/>
    </row>
    <row r="95" spans="1:30" s="7" customFormat="1">
      <c r="A95" s="133"/>
      <c r="B95" s="188"/>
      <c r="C95" s="188"/>
      <c r="D95" s="139"/>
      <c r="E95" s="5" t="str">
        <f t="shared" si="3"/>
        <v/>
      </c>
      <c r="F95" s="127" t="str">
        <f t="shared" si="4"/>
        <v/>
      </c>
      <c r="G95" s="146" t="str">
        <f t="shared" si="5"/>
        <v/>
      </c>
      <c r="H95" s="324"/>
      <c r="I95" s="324"/>
      <c r="J95" s="324"/>
      <c r="K95" s="324"/>
      <c r="L95" s="233"/>
      <c r="M95" s="233"/>
      <c r="N95" s="230"/>
      <c r="O95" s="324"/>
      <c r="P95" s="324"/>
      <c r="Q95" s="324"/>
      <c r="R95" s="324"/>
      <c r="S95" s="324"/>
      <c r="T95" s="324"/>
      <c r="U95" s="324"/>
      <c r="V95" s="324"/>
      <c r="W95" s="324"/>
      <c r="X95" s="324"/>
      <c r="Y95" s="324"/>
      <c r="Z95" s="324"/>
      <c r="AA95" s="324"/>
      <c r="AB95" s="324"/>
      <c r="AC95" s="324"/>
      <c r="AD95" s="324"/>
    </row>
    <row r="96" spans="1:30" s="7" customFormat="1">
      <c r="A96" s="133"/>
      <c r="B96" s="188"/>
      <c r="C96" s="188"/>
      <c r="D96" s="139"/>
      <c r="E96" s="5" t="str">
        <f t="shared" si="3"/>
        <v/>
      </c>
      <c r="F96" s="127" t="str">
        <f t="shared" si="4"/>
        <v/>
      </c>
      <c r="G96" s="146" t="str">
        <f t="shared" si="5"/>
        <v/>
      </c>
      <c r="H96" s="324"/>
      <c r="I96" s="324"/>
      <c r="J96" s="324"/>
      <c r="K96" s="324"/>
      <c r="L96" s="233"/>
      <c r="M96" s="233"/>
      <c r="N96" s="230"/>
      <c r="O96" s="324"/>
      <c r="P96" s="324"/>
      <c r="Q96" s="324"/>
      <c r="R96" s="324"/>
      <c r="S96" s="324"/>
      <c r="T96" s="324"/>
      <c r="U96" s="324"/>
      <c r="V96" s="324"/>
      <c r="W96" s="324"/>
      <c r="X96" s="324"/>
      <c r="Y96" s="324"/>
      <c r="Z96" s="324"/>
      <c r="AA96" s="324"/>
      <c r="AB96" s="324"/>
      <c r="AC96" s="324"/>
      <c r="AD96" s="324"/>
    </row>
    <row r="97" spans="1:30" s="7" customFormat="1">
      <c r="A97" s="133"/>
      <c r="B97" s="188"/>
      <c r="C97" s="188"/>
      <c r="D97" s="139"/>
      <c r="E97" s="5" t="str">
        <f t="shared" si="3"/>
        <v/>
      </c>
      <c r="F97" s="127" t="str">
        <f t="shared" si="4"/>
        <v/>
      </c>
      <c r="G97" s="146" t="str">
        <f t="shared" si="5"/>
        <v/>
      </c>
      <c r="H97" s="324"/>
      <c r="I97" s="324"/>
      <c r="J97" s="324"/>
      <c r="K97" s="324"/>
      <c r="L97" s="233"/>
      <c r="M97" s="233"/>
      <c r="N97" s="230"/>
      <c r="O97" s="324"/>
      <c r="P97" s="324"/>
      <c r="Q97" s="324"/>
      <c r="R97" s="324"/>
      <c r="S97" s="324"/>
      <c r="T97" s="324"/>
      <c r="U97" s="324"/>
      <c r="V97" s="324"/>
      <c r="W97" s="324"/>
      <c r="X97" s="324"/>
      <c r="Y97" s="324"/>
      <c r="Z97" s="324"/>
      <c r="AA97" s="324"/>
      <c r="AB97" s="324"/>
      <c r="AC97" s="324"/>
      <c r="AD97" s="324"/>
    </row>
    <row r="98" spans="1:30" s="7" customFormat="1">
      <c r="A98" s="133"/>
      <c r="B98" s="188"/>
      <c r="C98" s="188"/>
      <c r="D98" s="139"/>
      <c r="E98" s="5" t="str">
        <f t="shared" si="3"/>
        <v/>
      </c>
      <c r="F98" s="127" t="str">
        <f t="shared" si="4"/>
        <v/>
      </c>
      <c r="G98" s="146" t="str">
        <f t="shared" si="5"/>
        <v/>
      </c>
      <c r="H98" s="324"/>
      <c r="I98" s="324"/>
      <c r="J98" s="324"/>
      <c r="K98" s="324"/>
      <c r="L98" s="233"/>
      <c r="M98" s="233"/>
      <c r="N98" s="230"/>
      <c r="O98" s="324"/>
      <c r="P98" s="324"/>
      <c r="Q98" s="324"/>
      <c r="R98" s="324"/>
      <c r="S98" s="324"/>
      <c r="T98" s="324"/>
      <c r="U98" s="324"/>
      <c r="V98" s="324"/>
      <c r="W98" s="324"/>
      <c r="X98" s="324"/>
      <c r="Y98" s="324"/>
      <c r="Z98" s="324"/>
      <c r="AA98" s="324"/>
      <c r="AB98" s="324"/>
      <c r="AC98" s="324"/>
      <c r="AD98" s="324"/>
    </row>
    <row r="99" spans="1:30" s="7" customFormat="1">
      <c r="A99" s="133"/>
      <c r="B99" s="188"/>
      <c r="C99" s="188"/>
      <c r="D99" s="139"/>
      <c r="E99" s="5" t="str">
        <f t="shared" si="3"/>
        <v/>
      </c>
      <c r="F99" s="127" t="str">
        <f t="shared" si="4"/>
        <v/>
      </c>
      <c r="G99" s="146" t="str">
        <f t="shared" si="5"/>
        <v/>
      </c>
      <c r="H99" s="324"/>
      <c r="I99" s="324"/>
      <c r="J99" s="324"/>
      <c r="K99" s="324"/>
      <c r="L99" s="233"/>
      <c r="M99" s="233"/>
      <c r="N99" s="230"/>
      <c r="O99" s="324"/>
      <c r="P99" s="324"/>
      <c r="Q99" s="324"/>
      <c r="R99" s="324"/>
      <c r="S99" s="324"/>
      <c r="T99" s="324"/>
      <c r="U99" s="324"/>
      <c r="V99" s="324"/>
      <c r="W99" s="324"/>
      <c r="X99" s="324"/>
      <c r="Y99" s="324"/>
      <c r="Z99" s="324"/>
      <c r="AA99" s="324"/>
      <c r="AB99" s="324"/>
      <c r="AC99" s="324"/>
      <c r="AD99" s="324"/>
    </row>
    <row r="100" spans="1:30" s="7" customFormat="1">
      <c r="A100" s="133"/>
      <c r="B100" s="188"/>
      <c r="C100" s="188"/>
      <c r="D100" s="139"/>
      <c r="E100" s="5" t="str">
        <f t="shared" si="3"/>
        <v/>
      </c>
      <c r="F100" s="127" t="str">
        <f t="shared" si="4"/>
        <v/>
      </c>
      <c r="G100" s="146" t="str">
        <f t="shared" si="5"/>
        <v/>
      </c>
      <c r="H100" s="324"/>
      <c r="I100" s="324"/>
      <c r="J100" s="324"/>
      <c r="K100" s="324"/>
      <c r="L100" s="233"/>
      <c r="M100" s="233"/>
      <c r="N100" s="230"/>
      <c r="O100" s="324"/>
      <c r="P100" s="324"/>
      <c r="Q100" s="324"/>
      <c r="R100" s="324"/>
      <c r="S100" s="324"/>
      <c r="T100" s="324"/>
      <c r="U100" s="324"/>
      <c r="V100" s="324"/>
      <c r="W100" s="324"/>
      <c r="X100" s="324"/>
      <c r="Y100" s="324"/>
      <c r="Z100" s="324"/>
      <c r="AA100" s="324"/>
      <c r="AB100" s="324"/>
      <c r="AC100" s="324"/>
      <c r="AD100" s="324"/>
    </row>
    <row r="101" spans="1:30" s="7" customFormat="1">
      <c r="A101" s="133"/>
      <c r="B101" s="188"/>
      <c r="C101" s="188"/>
      <c r="D101" s="139"/>
      <c r="E101" s="5" t="str">
        <f t="shared" si="3"/>
        <v/>
      </c>
      <c r="F101" s="127" t="str">
        <f t="shared" si="4"/>
        <v/>
      </c>
      <c r="G101" s="146" t="str">
        <f t="shared" si="5"/>
        <v/>
      </c>
      <c r="H101" s="324"/>
      <c r="I101" s="324"/>
      <c r="J101" s="324"/>
      <c r="K101" s="324"/>
      <c r="L101" s="233"/>
      <c r="M101" s="233"/>
      <c r="N101" s="230"/>
      <c r="O101" s="324"/>
      <c r="P101" s="324"/>
      <c r="Q101" s="324"/>
      <c r="R101" s="324"/>
      <c r="S101" s="324"/>
      <c r="T101" s="324"/>
      <c r="U101" s="324"/>
      <c r="V101" s="324"/>
      <c r="W101" s="324"/>
      <c r="X101" s="324"/>
      <c r="Y101" s="324"/>
      <c r="Z101" s="324"/>
      <c r="AA101" s="324"/>
      <c r="AB101" s="324"/>
      <c r="AC101" s="324"/>
      <c r="AD101" s="324"/>
    </row>
    <row r="102" spans="1:30" s="7" customFormat="1">
      <c r="A102" s="133"/>
      <c r="B102" s="188"/>
      <c r="C102" s="188"/>
      <c r="D102" s="139"/>
      <c r="E102" s="5" t="str">
        <f t="shared" si="3"/>
        <v/>
      </c>
      <c r="F102" s="127" t="str">
        <f t="shared" si="4"/>
        <v/>
      </c>
      <c r="G102" s="146" t="str">
        <f t="shared" si="5"/>
        <v/>
      </c>
      <c r="H102" s="324"/>
      <c r="I102" s="324"/>
      <c r="J102" s="324"/>
      <c r="K102" s="324"/>
      <c r="L102" s="233"/>
      <c r="M102" s="233"/>
      <c r="N102" s="230"/>
      <c r="O102" s="324"/>
      <c r="P102" s="324"/>
      <c r="Q102" s="324"/>
      <c r="R102" s="324"/>
      <c r="S102" s="324"/>
      <c r="T102" s="324"/>
      <c r="U102" s="324"/>
      <c r="V102" s="324"/>
      <c r="W102" s="324"/>
      <c r="X102" s="324"/>
      <c r="Y102" s="324"/>
      <c r="Z102" s="324"/>
      <c r="AA102" s="324"/>
      <c r="AB102" s="324"/>
      <c r="AC102" s="324"/>
      <c r="AD102" s="324"/>
    </row>
    <row r="103" spans="1:30" s="7" customFormat="1">
      <c r="A103" s="133"/>
      <c r="B103" s="188"/>
      <c r="C103" s="188"/>
      <c r="D103" s="139"/>
      <c r="E103" s="5" t="str">
        <f t="shared" si="3"/>
        <v/>
      </c>
      <c r="F103" s="127" t="str">
        <f t="shared" si="4"/>
        <v/>
      </c>
      <c r="G103" s="146" t="str">
        <f t="shared" si="5"/>
        <v/>
      </c>
      <c r="H103" s="324"/>
      <c r="I103" s="324"/>
      <c r="J103" s="324"/>
      <c r="K103" s="324"/>
      <c r="L103" s="233"/>
      <c r="M103" s="233"/>
      <c r="N103" s="230"/>
      <c r="O103" s="324"/>
      <c r="P103" s="324"/>
      <c r="Q103" s="324"/>
      <c r="R103" s="324"/>
      <c r="S103" s="324"/>
      <c r="T103" s="324"/>
      <c r="U103" s="324"/>
      <c r="V103" s="324"/>
      <c r="W103" s="324"/>
      <c r="X103" s="324"/>
      <c r="Y103" s="324"/>
      <c r="Z103" s="324"/>
      <c r="AA103" s="324"/>
      <c r="AB103" s="324"/>
      <c r="AC103" s="324"/>
      <c r="AD103" s="324"/>
    </row>
    <row r="104" spans="1:30" s="7" customFormat="1">
      <c r="A104" s="133"/>
      <c r="B104" s="188"/>
      <c r="C104" s="188"/>
      <c r="D104" s="139"/>
      <c r="E104" s="5" t="str">
        <f t="shared" si="3"/>
        <v/>
      </c>
      <c r="F104" s="127" t="str">
        <f t="shared" si="4"/>
        <v/>
      </c>
      <c r="G104" s="146" t="str">
        <f t="shared" si="5"/>
        <v/>
      </c>
      <c r="H104" s="324"/>
      <c r="I104" s="324"/>
      <c r="J104" s="324"/>
      <c r="K104" s="324"/>
      <c r="L104" s="233"/>
      <c r="M104" s="233"/>
      <c r="N104" s="230"/>
      <c r="O104" s="324"/>
      <c r="P104" s="324"/>
      <c r="Q104" s="324"/>
      <c r="R104" s="324"/>
      <c r="S104" s="324"/>
      <c r="T104" s="324"/>
      <c r="U104" s="324"/>
      <c r="V104" s="324"/>
      <c r="W104" s="324"/>
      <c r="X104" s="324"/>
      <c r="Y104" s="324"/>
      <c r="Z104" s="324"/>
      <c r="AA104" s="324"/>
      <c r="AB104" s="324"/>
      <c r="AC104" s="324"/>
      <c r="AD104" s="324"/>
    </row>
    <row r="105" spans="1:30" s="7" customFormat="1">
      <c r="A105" s="133"/>
      <c r="B105" s="188"/>
      <c r="C105" s="188"/>
      <c r="D105" s="139"/>
      <c r="E105" s="5" t="str">
        <f t="shared" si="3"/>
        <v/>
      </c>
      <c r="F105" s="127" t="str">
        <f t="shared" si="4"/>
        <v/>
      </c>
      <c r="G105" s="146" t="str">
        <f t="shared" si="5"/>
        <v/>
      </c>
      <c r="H105" s="324"/>
      <c r="I105" s="324"/>
      <c r="J105" s="324"/>
      <c r="K105" s="324"/>
      <c r="L105" s="233"/>
      <c r="M105" s="233"/>
      <c r="N105" s="230"/>
      <c r="O105" s="324"/>
      <c r="P105" s="324"/>
      <c r="Q105" s="324"/>
      <c r="R105" s="324"/>
      <c r="S105" s="324"/>
      <c r="T105" s="324"/>
      <c r="U105" s="324"/>
      <c r="V105" s="324"/>
      <c r="W105" s="324"/>
      <c r="X105" s="324"/>
      <c r="Y105" s="324"/>
      <c r="Z105" s="324"/>
      <c r="AA105" s="324"/>
      <c r="AB105" s="324"/>
      <c r="AC105" s="324"/>
      <c r="AD105" s="324"/>
    </row>
    <row r="106" spans="1:30" s="7" customFormat="1">
      <c r="A106" s="133"/>
      <c r="B106" s="188"/>
      <c r="C106" s="188"/>
      <c r="D106" s="139"/>
      <c r="E106" s="5" t="str">
        <f t="shared" si="3"/>
        <v/>
      </c>
      <c r="F106" s="127" t="str">
        <f t="shared" si="4"/>
        <v/>
      </c>
      <c r="G106" s="146" t="str">
        <f t="shared" si="5"/>
        <v/>
      </c>
      <c r="H106" s="324"/>
      <c r="I106" s="324"/>
      <c r="J106" s="324"/>
      <c r="K106" s="324"/>
      <c r="L106" s="233"/>
      <c r="M106" s="233"/>
      <c r="N106" s="230"/>
      <c r="O106" s="324"/>
      <c r="P106" s="324"/>
      <c r="Q106" s="324"/>
      <c r="R106" s="324"/>
      <c r="S106" s="324"/>
      <c r="T106" s="324"/>
      <c r="U106" s="324"/>
      <c r="V106" s="324"/>
      <c r="W106" s="324"/>
      <c r="X106" s="324"/>
      <c r="Y106" s="324"/>
      <c r="Z106" s="324"/>
      <c r="AA106" s="324"/>
      <c r="AB106" s="324"/>
      <c r="AC106" s="324"/>
      <c r="AD106" s="324"/>
    </row>
    <row r="107" spans="1:30" s="7" customFormat="1" ht="13.5" thickBot="1">
      <c r="A107" s="185"/>
      <c r="B107" s="190"/>
      <c r="C107" s="190"/>
      <c r="D107" s="184"/>
      <c r="E107" s="186" t="str">
        <f t="shared" si="3"/>
        <v/>
      </c>
      <c r="F107" s="148" t="str">
        <f t="shared" si="4"/>
        <v/>
      </c>
      <c r="G107" s="150" t="str">
        <f t="shared" si="5"/>
        <v/>
      </c>
      <c r="H107" s="324"/>
      <c r="I107" s="324"/>
      <c r="J107" s="324"/>
      <c r="K107" s="324"/>
      <c r="L107" s="233"/>
      <c r="M107" s="233"/>
      <c r="N107" s="230"/>
      <c r="O107" s="324"/>
      <c r="P107" s="324"/>
      <c r="Q107" s="324"/>
      <c r="R107" s="324"/>
      <c r="S107" s="324"/>
      <c r="T107" s="324"/>
      <c r="U107" s="324"/>
      <c r="V107" s="324"/>
      <c r="W107" s="324"/>
      <c r="X107" s="324"/>
      <c r="Y107" s="324"/>
      <c r="Z107" s="324"/>
      <c r="AA107" s="324"/>
      <c r="AB107" s="324"/>
      <c r="AC107" s="324"/>
      <c r="AD107" s="324"/>
    </row>
    <row r="108" spans="1:30" s="7" customFormat="1" ht="13.5" thickBot="1">
      <c r="A108" s="167" t="s">
        <v>655</v>
      </c>
      <c r="B108" s="58"/>
      <c r="C108" s="58"/>
      <c r="D108" s="192"/>
      <c r="E108" s="59">
        <f>SUM(E60:E107)</f>
        <v>0</v>
      </c>
      <c r="F108" s="149">
        <f>SUM(F60:F107)</f>
        <v>0</v>
      </c>
      <c r="G108" s="144">
        <f>SUM(G60:G107)</f>
        <v>0</v>
      </c>
      <c r="H108" s="324"/>
      <c r="I108" s="324"/>
      <c r="J108" s="324"/>
      <c r="K108" s="324"/>
      <c r="L108" s="233"/>
      <c r="M108" s="233"/>
      <c r="N108" s="230"/>
      <c r="O108" s="324"/>
      <c r="P108" s="324"/>
      <c r="Q108" s="324"/>
      <c r="R108" s="324"/>
      <c r="S108" s="324"/>
      <c r="T108" s="324"/>
      <c r="U108" s="324"/>
      <c r="V108" s="324"/>
      <c r="W108" s="324"/>
      <c r="X108" s="324"/>
      <c r="Y108" s="324"/>
      <c r="Z108" s="324"/>
      <c r="AA108" s="324"/>
      <c r="AB108" s="324"/>
      <c r="AC108" s="324"/>
      <c r="AD108" s="324"/>
    </row>
    <row r="109" spans="1:30" s="7" customFormat="1">
      <c r="A109" s="78"/>
      <c r="B109" s="78"/>
      <c r="C109" s="78"/>
      <c r="D109" s="78"/>
      <c r="E109" s="78"/>
      <c r="F109" s="78"/>
      <c r="G109" s="78"/>
      <c r="H109" s="324"/>
      <c r="I109" s="324"/>
      <c r="J109" s="324"/>
      <c r="K109" s="324"/>
      <c r="L109" s="233"/>
      <c r="M109" s="233"/>
      <c r="N109" s="230"/>
      <c r="O109" s="324"/>
      <c r="P109" s="324"/>
      <c r="Q109" s="324"/>
      <c r="R109" s="324"/>
      <c r="S109" s="324"/>
      <c r="T109" s="324"/>
      <c r="U109" s="324"/>
      <c r="V109" s="324"/>
      <c r="W109" s="324"/>
      <c r="X109" s="324"/>
      <c r="Y109" s="324"/>
      <c r="Z109" s="324"/>
      <c r="AA109" s="324"/>
      <c r="AB109" s="324"/>
      <c r="AC109" s="324"/>
      <c r="AD109" s="324"/>
    </row>
    <row r="110" spans="1:30" s="7" customFormat="1" ht="15" thickBot="1">
      <c r="A110" s="13" t="s">
        <v>468</v>
      </c>
      <c r="B110" s="10"/>
      <c r="C110" s="10"/>
      <c r="D110" s="78"/>
      <c r="E110" s="78"/>
      <c r="F110" s="78"/>
      <c r="G110" s="78"/>
      <c r="H110" s="324"/>
      <c r="I110" s="324"/>
      <c r="J110" s="324"/>
      <c r="K110" s="324"/>
      <c r="L110" s="233"/>
      <c r="M110" s="233"/>
      <c r="N110" s="230"/>
      <c r="O110" s="324"/>
      <c r="P110" s="324"/>
      <c r="Q110" s="324"/>
      <c r="R110" s="324"/>
      <c r="S110" s="324"/>
      <c r="T110" s="324"/>
      <c r="U110" s="324"/>
      <c r="V110" s="324"/>
      <c r="W110" s="324"/>
      <c r="X110" s="324"/>
      <c r="Y110" s="324"/>
      <c r="Z110" s="324"/>
      <c r="AA110" s="324"/>
      <c r="AB110" s="324"/>
      <c r="AC110" s="324"/>
      <c r="AD110" s="324"/>
    </row>
    <row r="111" spans="1:30" s="7" customFormat="1" ht="40.5" thickBot="1">
      <c r="A111" s="607" t="s">
        <v>337</v>
      </c>
      <c r="B111" s="608" t="s">
        <v>0</v>
      </c>
      <c r="C111" s="608" t="s">
        <v>356</v>
      </c>
      <c r="D111" s="274" t="s">
        <v>352</v>
      </c>
      <c r="E111" s="274" t="s">
        <v>338</v>
      </c>
      <c r="F111" s="274" t="s">
        <v>353</v>
      </c>
      <c r="G111" s="275" t="s">
        <v>354</v>
      </c>
      <c r="H111" s="230"/>
      <c r="I111" s="324"/>
      <c r="J111" s="324"/>
      <c r="K111" s="233"/>
      <c r="L111" s="233"/>
      <c r="M111" s="230"/>
      <c r="N111" s="324"/>
      <c r="O111" s="324"/>
      <c r="P111" s="324"/>
      <c r="Q111" s="324"/>
      <c r="R111" s="324"/>
      <c r="S111" s="324"/>
      <c r="T111" s="324"/>
      <c r="U111" s="324"/>
      <c r="V111" s="324"/>
      <c r="W111" s="324"/>
      <c r="X111" s="324"/>
      <c r="Y111" s="324"/>
      <c r="Z111" s="324"/>
      <c r="AA111" s="324"/>
      <c r="AB111" s="324"/>
      <c r="AC111" s="324"/>
      <c r="AD111" s="324"/>
    </row>
    <row r="112" spans="1:30" s="7" customFormat="1">
      <c r="A112" s="641" t="s">
        <v>8</v>
      </c>
      <c r="B112" s="661" t="s">
        <v>9</v>
      </c>
      <c r="C112" s="662" t="s">
        <v>335</v>
      </c>
      <c r="D112" s="663">
        <v>1000</v>
      </c>
      <c r="E112" s="643">
        <v>229</v>
      </c>
      <c r="F112" s="659">
        <v>10.4</v>
      </c>
      <c r="G112" s="660">
        <v>8.5</v>
      </c>
      <c r="H112" s="324"/>
      <c r="I112" s="324"/>
      <c r="J112" s="324"/>
      <c r="K112" s="233"/>
      <c r="L112" s="233"/>
      <c r="M112" s="230"/>
      <c r="N112" s="324"/>
      <c r="O112" s="324"/>
      <c r="P112" s="324"/>
      <c r="Q112" s="324"/>
      <c r="R112" s="324"/>
      <c r="S112" s="324"/>
      <c r="T112" s="324"/>
      <c r="U112" s="324"/>
      <c r="V112" s="324"/>
      <c r="W112" s="324"/>
      <c r="X112" s="324"/>
      <c r="Y112" s="324"/>
      <c r="Z112" s="324"/>
      <c r="AA112" s="324"/>
      <c r="AB112" s="324"/>
      <c r="AC112" s="324"/>
      <c r="AD112" s="324"/>
    </row>
    <row r="113" spans="1:30" s="7" customFormat="1">
      <c r="A113" s="239"/>
      <c r="B113" s="246"/>
      <c r="C113" s="247"/>
      <c r="D113" s="248"/>
      <c r="E113" s="564" t="str">
        <f t="shared" ref="E113:E144" si="6">IF($C113="","",VLOOKUP($C113,Biz_Travel_Fctr,2,FALSE)*$D113)</f>
        <v/>
      </c>
      <c r="F113" s="235" t="str">
        <f t="shared" ref="F113:F144" si="7">IF($C113="","",VLOOKUP($C113,Biz_Travel_Fctr,3,FALSE)*$D113)</f>
        <v/>
      </c>
      <c r="G113" s="243" t="str">
        <f t="shared" ref="G113:G144" si="8">IF($C113="","",VLOOKUP($C113,Biz_Travel_Fctr,4,FALSE)*$D113)</f>
        <v/>
      </c>
      <c r="H113" s="324"/>
      <c r="I113" s="324"/>
      <c r="J113" s="324"/>
      <c r="K113" s="233"/>
      <c r="L113" s="233"/>
      <c r="M113" s="230"/>
      <c r="N113" s="324"/>
      <c r="O113" s="324"/>
      <c r="P113" s="324"/>
      <c r="Q113" s="324"/>
      <c r="R113" s="324"/>
      <c r="S113" s="324"/>
      <c r="T113" s="324"/>
      <c r="U113" s="324"/>
      <c r="V113" s="324"/>
      <c r="W113" s="324"/>
      <c r="X113" s="324"/>
      <c r="Y113" s="324"/>
      <c r="Z113" s="324"/>
      <c r="AA113" s="324"/>
      <c r="AB113" s="324"/>
      <c r="AC113" s="324"/>
      <c r="AD113" s="324"/>
    </row>
    <row r="114" spans="1:30" s="7" customFormat="1">
      <c r="A114" s="133"/>
      <c r="B114" s="189"/>
      <c r="C114" s="214"/>
      <c r="D114" s="218"/>
      <c r="E114" s="5" t="str">
        <f t="shared" si="6"/>
        <v/>
      </c>
      <c r="F114" s="220" t="str">
        <f t="shared" si="7"/>
        <v/>
      </c>
      <c r="G114" s="143" t="str">
        <f t="shared" si="8"/>
        <v/>
      </c>
      <c r="H114" s="324"/>
      <c r="I114" s="324"/>
      <c r="J114" s="324"/>
      <c r="K114" s="233"/>
      <c r="L114" s="233"/>
      <c r="M114" s="230"/>
      <c r="N114" s="324"/>
      <c r="O114" s="324"/>
      <c r="P114" s="324"/>
      <c r="Q114" s="324"/>
      <c r="R114" s="324"/>
      <c r="S114" s="324"/>
      <c r="T114" s="324"/>
      <c r="U114" s="324"/>
      <c r="V114" s="324"/>
      <c r="W114" s="324"/>
      <c r="X114" s="324"/>
      <c r="Y114" s="324"/>
      <c r="Z114" s="324"/>
      <c r="AA114" s="324"/>
      <c r="AB114" s="324"/>
      <c r="AC114" s="324"/>
      <c r="AD114" s="324"/>
    </row>
    <row r="115" spans="1:30" s="7" customFormat="1">
      <c r="A115" s="133"/>
      <c r="B115" s="189"/>
      <c r="C115" s="214"/>
      <c r="D115" s="218"/>
      <c r="E115" s="5" t="str">
        <f t="shared" si="6"/>
        <v/>
      </c>
      <c r="F115" s="220" t="str">
        <f t="shared" si="7"/>
        <v/>
      </c>
      <c r="G115" s="143" t="str">
        <f t="shared" si="8"/>
        <v/>
      </c>
      <c r="H115" s="230"/>
      <c r="I115" s="324"/>
      <c r="J115" s="324"/>
      <c r="K115" s="233"/>
      <c r="L115" s="233"/>
      <c r="M115" s="230"/>
      <c r="N115" s="324"/>
      <c r="O115" s="324"/>
      <c r="P115" s="324"/>
      <c r="Q115" s="324"/>
      <c r="R115" s="324"/>
      <c r="S115" s="324"/>
      <c r="T115" s="324"/>
      <c r="U115" s="324"/>
      <c r="V115" s="324"/>
      <c r="W115" s="324"/>
      <c r="X115" s="324"/>
      <c r="Y115" s="324"/>
      <c r="Z115" s="324"/>
      <c r="AA115" s="324"/>
      <c r="AB115" s="324"/>
      <c r="AC115" s="324"/>
      <c r="AD115" s="324"/>
    </row>
    <row r="116" spans="1:30" s="7" customFormat="1">
      <c r="A116" s="133"/>
      <c r="B116" s="189"/>
      <c r="C116" s="214"/>
      <c r="D116" s="218"/>
      <c r="E116" s="5" t="str">
        <f t="shared" si="6"/>
        <v/>
      </c>
      <c r="F116" s="220" t="str">
        <f t="shared" si="7"/>
        <v/>
      </c>
      <c r="G116" s="143" t="str">
        <f t="shared" si="8"/>
        <v/>
      </c>
      <c r="H116" s="230"/>
      <c r="I116" s="324"/>
      <c r="J116" s="324"/>
      <c r="K116" s="233"/>
      <c r="L116" s="233"/>
      <c r="M116" s="230"/>
      <c r="N116" s="324"/>
      <c r="O116" s="324"/>
      <c r="P116" s="324"/>
      <c r="Q116" s="324"/>
      <c r="R116" s="324"/>
      <c r="S116" s="324"/>
      <c r="T116" s="324"/>
      <c r="U116" s="324"/>
      <c r="V116" s="324"/>
      <c r="W116" s="324"/>
      <c r="X116" s="324"/>
      <c r="Y116" s="324"/>
      <c r="Z116" s="324"/>
      <c r="AA116" s="324"/>
      <c r="AB116" s="324"/>
      <c r="AC116" s="324"/>
      <c r="AD116" s="324"/>
    </row>
    <row r="117" spans="1:30" s="7" customFormat="1">
      <c r="A117" s="133"/>
      <c r="B117" s="189"/>
      <c r="C117" s="214"/>
      <c r="D117" s="218"/>
      <c r="E117" s="5" t="str">
        <f t="shared" si="6"/>
        <v/>
      </c>
      <c r="F117" s="220" t="str">
        <f t="shared" si="7"/>
        <v/>
      </c>
      <c r="G117" s="143" t="str">
        <f t="shared" si="8"/>
        <v/>
      </c>
      <c r="H117" s="230"/>
      <c r="I117" s="324"/>
      <c r="J117" s="324"/>
      <c r="K117" s="233"/>
      <c r="L117" s="233"/>
      <c r="M117" s="230"/>
      <c r="N117" s="324"/>
      <c r="O117" s="324"/>
      <c r="P117" s="324"/>
      <c r="Q117" s="324"/>
      <c r="R117" s="324"/>
      <c r="S117" s="324"/>
      <c r="T117" s="324"/>
      <c r="U117" s="324"/>
      <c r="V117" s="324"/>
      <c r="W117" s="324"/>
      <c r="X117" s="324"/>
      <c r="Y117" s="324"/>
      <c r="Z117" s="324"/>
      <c r="AA117" s="324"/>
      <c r="AB117" s="324"/>
      <c r="AC117" s="324"/>
      <c r="AD117" s="324"/>
    </row>
    <row r="118" spans="1:30" s="7" customFormat="1">
      <c r="A118" s="133"/>
      <c r="B118" s="189"/>
      <c r="C118" s="214"/>
      <c r="D118" s="218"/>
      <c r="E118" s="5" t="str">
        <f t="shared" si="6"/>
        <v/>
      </c>
      <c r="F118" s="220" t="str">
        <f t="shared" si="7"/>
        <v/>
      </c>
      <c r="G118" s="143" t="str">
        <f t="shared" si="8"/>
        <v/>
      </c>
      <c r="H118" s="230"/>
      <c r="I118" s="324"/>
      <c r="J118" s="324"/>
      <c r="K118" s="233"/>
      <c r="L118" s="233"/>
      <c r="M118" s="230"/>
      <c r="N118" s="324"/>
      <c r="O118" s="324"/>
      <c r="P118" s="324"/>
      <c r="Q118" s="324"/>
      <c r="R118" s="324"/>
      <c r="S118" s="324"/>
      <c r="T118" s="324"/>
      <c r="U118" s="324"/>
      <c r="V118" s="324"/>
      <c r="W118" s="324"/>
      <c r="X118" s="324"/>
      <c r="Y118" s="324"/>
      <c r="Z118" s="324"/>
      <c r="AA118" s="324"/>
      <c r="AB118" s="324"/>
      <c r="AC118" s="324"/>
      <c r="AD118" s="324"/>
    </row>
    <row r="119" spans="1:30" s="7" customFormat="1">
      <c r="A119" s="133"/>
      <c r="B119" s="189"/>
      <c r="C119" s="214"/>
      <c r="D119" s="218"/>
      <c r="E119" s="5" t="str">
        <f t="shared" si="6"/>
        <v/>
      </c>
      <c r="F119" s="220" t="str">
        <f t="shared" si="7"/>
        <v/>
      </c>
      <c r="G119" s="143" t="str">
        <f t="shared" si="8"/>
        <v/>
      </c>
      <c r="H119" s="230"/>
      <c r="I119" s="324"/>
      <c r="J119" s="324"/>
      <c r="K119" s="233"/>
      <c r="L119" s="233"/>
      <c r="M119" s="230"/>
      <c r="N119" s="324"/>
      <c r="O119" s="324"/>
      <c r="P119" s="324"/>
      <c r="Q119" s="324"/>
      <c r="R119" s="324"/>
      <c r="S119" s="324"/>
      <c r="T119" s="324"/>
      <c r="U119" s="324"/>
      <c r="V119" s="324"/>
      <c r="W119" s="324"/>
      <c r="X119" s="324"/>
      <c r="Y119" s="324"/>
      <c r="Z119" s="324"/>
      <c r="AA119" s="324"/>
      <c r="AB119" s="324"/>
      <c r="AC119" s="324"/>
      <c r="AD119" s="324"/>
    </row>
    <row r="120" spans="1:30" s="7" customFormat="1">
      <c r="A120" s="133"/>
      <c r="B120" s="189"/>
      <c r="C120" s="214"/>
      <c r="D120" s="218"/>
      <c r="E120" s="5" t="str">
        <f t="shared" si="6"/>
        <v/>
      </c>
      <c r="F120" s="220" t="str">
        <f t="shared" si="7"/>
        <v/>
      </c>
      <c r="G120" s="143" t="str">
        <f t="shared" si="8"/>
        <v/>
      </c>
      <c r="H120" s="230"/>
      <c r="I120" s="324"/>
      <c r="J120" s="324"/>
      <c r="K120" s="233"/>
      <c r="L120" s="233"/>
      <c r="M120" s="230"/>
      <c r="N120" s="324"/>
      <c r="O120" s="324"/>
      <c r="P120" s="324"/>
      <c r="Q120" s="324"/>
      <c r="R120" s="324"/>
      <c r="S120" s="324"/>
      <c r="T120" s="324"/>
      <c r="U120" s="324"/>
      <c r="V120" s="324"/>
      <c r="W120" s="324"/>
      <c r="X120" s="324"/>
      <c r="Y120" s="324"/>
      <c r="Z120" s="324"/>
      <c r="AA120" s="324"/>
      <c r="AB120" s="324"/>
      <c r="AC120" s="324"/>
      <c r="AD120" s="324"/>
    </row>
    <row r="121" spans="1:30" s="7" customFormat="1">
      <c r="A121" s="133"/>
      <c r="B121" s="189"/>
      <c r="C121" s="214"/>
      <c r="D121" s="218"/>
      <c r="E121" s="5" t="str">
        <f t="shared" si="6"/>
        <v/>
      </c>
      <c r="F121" s="220" t="str">
        <f t="shared" si="7"/>
        <v/>
      </c>
      <c r="G121" s="143" t="str">
        <f t="shared" si="8"/>
        <v/>
      </c>
      <c r="H121" s="230"/>
      <c r="I121" s="324"/>
      <c r="J121" s="324"/>
      <c r="K121" s="233"/>
      <c r="L121" s="233"/>
      <c r="M121" s="230"/>
      <c r="N121" s="324"/>
      <c r="O121" s="324"/>
      <c r="P121" s="324"/>
      <c r="Q121" s="324"/>
      <c r="R121" s="324"/>
      <c r="S121" s="324"/>
      <c r="T121" s="324"/>
      <c r="U121" s="324"/>
      <c r="V121" s="324"/>
      <c r="W121" s="324"/>
      <c r="X121" s="324"/>
      <c r="Y121" s="324"/>
      <c r="Z121" s="324"/>
      <c r="AA121" s="324"/>
      <c r="AB121" s="324"/>
      <c r="AC121" s="324"/>
      <c r="AD121" s="324"/>
    </row>
    <row r="122" spans="1:30" s="7" customFormat="1">
      <c r="A122" s="133"/>
      <c r="B122" s="189"/>
      <c r="C122" s="214"/>
      <c r="D122" s="218"/>
      <c r="E122" s="5" t="str">
        <f t="shared" si="6"/>
        <v/>
      </c>
      <c r="F122" s="220" t="str">
        <f t="shared" si="7"/>
        <v/>
      </c>
      <c r="G122" s="143" t="str">
        <f t="shared" si="8"/>
        <v/>
      </c>
      <c r="H122" s="230"/>
      <c r="I122" s="324"/>
      <c r="J122" s="324"/>
      <c r="K122" s="233"/>
      <c r="L122" s="233"/>
      <c r="M122" s="230"/>
      <c r="N122" s="324"/>
      <c r="O122" s="324"/>
      <c r="P122" s="324"/>
      <c r="Q122" s="324"/>
      <c r="R122" s="324"/>
      <c r="S122" s="324"/>
      <c r="T122" s="324"/>
      <c r="U122" s="324"/>
      <c r="V122" s="324"/>
      <c r="W122" s="324"/>
      <c r="X122" s="324"/>
      <c r="Y122" s="324"/>
      <c r="Z122" s="324"/>
      <c r="AA122" s="324"/>
      <c r="AB122" s="324"/>
      <c r="AC122" s="324"/>
      <c r="AD122" s="324"/>
    </row>
    <row r="123" spans="1:30" s="7" customFormat="1">
      <c r="A123" s="133"/>
      <c r="B123" s="189"/>
      <c r="C123" s="214"/>
      <c r="D123" s="218"/>
      <c r="E123" s="5" t="str">
        <f t="shared" si="6"/>
        <v/>
      </c>
      <c r="F123" s="220" t="str">
        <f t="shared" si="7"/>
        <v/>
      </c>
      <c r="G123" s="143" t="str">
        <f t="shared" si="8"/>
        <v/>
      </c>
      <c r="H123" s="230"/>
      <c r="I123" s="324"/>
      <c r="J123" s="324"/>
      <c r="K123" s="233"/>
      <c r="L123" s="233"/>
      <c r="M123" s="230"/>
      <c r="N123" s="324"/>
      <c r="O123" s="324"/>
      <c r="P123" s="324"/>
      <c r="Q123" s="324"/>
      <c r="R123" s="324"/>
      <c r="S123" s="324"/>
      <c r="T123" s="324"/>
      <c r="U123" s="324"/>
      <c r="V123" s="324"/>
      <c r="W123" s="324"/>
      <c r="X123" s="324"/>
      <c r="Y123" s="324"/>
      <c r="Z123" s="324"/>
      <c r="AA123" s="324"/>
      <c r="AB123" s="324"/>
      <c r="AC123" s="324"/>
      <c r="AD123" s="324"/>
    </row>
    <row r="124" spans="1:30" s="7" customFormat="1">
      <c r="A124" s="133"/>
      <c r="B124" s="189"/>
      <c r="C124" s="214"/>
      <c r="D124" s="218"/>
      <c r="E124" s="5" t="str">
        <f t="shared" si="6"/>
        <v/>
      </c>
      <c r="F124" s="220" t="str">
        <f t="shared" si="7"/>
        <v/>
      </c>
      <c r="G124" s="143" t="str">
        <f t="shared" si="8"/>
        <v/>
      </c>
      <c r="H124" s="230"/>
      <c r="I124" s="324"/>
      <c r="J124" s="324"/>
      <c r="K124" s="233"/>
      <c r="L124" s="233"/>
      <c r="M124" s="230"/>
      <c r="N124" s="324"/>
      <c r="O124" s="324"/>
      <c r="P124" s="324"/>
      <c r="Q124" s="324"/>
      <c r="R124" s="324"/>
      <c r="S124" s="324"/>
      <c r="T124" s="324"/>
      <c r="U124" s="324"/>
      <c r="V124" s="324"/>
      <c r="W124" s="324"/>
      <c r="X124" s="324"/>
      <c r="Y124" s="324"/>
      <c r="Z124" s="324"/>
      <c r="AA124" s="324"/>
      <c r="AB124" s="324"/>
      <c r="AC124" s="324"/>
      <c r="AD124" s="324"/>
    </row>
    <row r="125" spans="1:30" s="7" customFormat="1">
      <c r="A125" s="133"/>
      <c r="B125" s="189"/>
      <c r="C125" s="214"/>
      <c r="D125" s="218"/>
      <c r="E125" s="5" t="str">
        <f t="shared" si="6"/>
        <v/>
      </c>
      <c r="F125" s="220" t="str">
        <f t="shared" si="7"/>
        <v/>
      </c>
      <c r="G125" s="143" t="str">
        <f t="shared" si="8"/>
        <v/>
      </c>
      <c r="H125" s="230"/>
      <c r="I125" s="324"/>
      <c r="J125" s="324"/>
      <c r="K125" s="233"/>
      <c r="L125" s="233"/>
      <c r="M125" s="230"/>
      <c r="N125" s="324"/>
      <c r="O125" s="324"/>
      <c r="P125" s="324"/>
      <c r="Q125" s="324"/>
      <c r="R125" s="324"/>
      <c r="S125" s="324"/>
      <c r="T125" s="324"/>
      <c r="U125" s="324"/>
      <c r="V125" s="324"/>
      <c r="W125" s="324"/>
      <c r="X125" s="324"/>
      <c r="Y125" s="324"/>
      <c r="Z125" s="324"/>
      <c r="AA125" s="324"/>
      <c r="AB125" s="324"/>
      <c r="AC125" s="324"/>
      <c r="AD125" s="324"/>
    </row>
    <row r="126" spans="1:30" s="7" customFormat="1">
      <c r="A126" s="133"/>
      <c r="B126" s="189"/>
      <c r="C126" s="214"/>
      <c r="D126" s="218"/>
      <c r="E126" s="5" t="str">
        <f t="shared" si="6"/>
        <v/>
      </c>
      <c r="F126" s="220" t="str">
        <f t="shared" si="7"/>
        <v/>
      </c>
      <c r="G126" s="143" t="str">
        <f t="shared" si="8"/>
        <v/>
      </c>
      <c r="H126" s="230"/>
      <c r="I126" s="324"/>
      <c r="J126" s="324"/>
      <c r="K126" s="233"/>
      <c r="L126" s="233"/>
      <c r="M126" s="230"/>
      <c r="N126" s="324"/>
      <c r="O126" s="324"/>
      <c r="P126" s="324"/>
      <c r="Q126" s="324"/>
      <c r="R126" s="324"/>
      <c r="S126" s="324"/>
      <c r="T126" s="324"/>
      <c r="U126" s="324"/>
      <c r="V126" s="324"/>
      <c r="W126" s="324"/>
      <c r="X126" s="324"/>
      <c r="Y126" s="324"/>
      <c r="Z126" s="324"/>
      <c r="AA126" s="324"/>
      <c r="AB126" s="324"/>
      <c r="AC126" s="324"/>
      <c r="AD126" s="324"/>
    </row>
    <row r="127" spans="1:30" s="7" customFormat="1">
      <c r="A127" s="133"/>
      <c r="B127" s="189"/>
      <c r="C127" s="214"/>
      <c r="D127" s="218"/>
      <c r="E127" s="5" t="str">
        <f t="shared" si="6"/>
        <v/>
      </c>
      <c r="F127" s="220" t="str">
        <f t="shared" si="7"/>
        <v/>
      </c>
      <c r="G127" s="143" t="str">
        <f t="shared" si="8"/>
        <v/>
      </c>
      <c r="H127" s="230"/>
      <c r="I127" s="324"/>
      <c r="J127" s="324"/>
      <c r="K127" s="233"/>
      <c r="L127" s="233"/>
      <c r="M127" s="230"/>
      <c r="N127" s="324"/>
      <c r="O127" s="324"/>
      <c r="P127" s="324"/>
      <c r="Q127" s="324"/>
      <c r="R127" s="324"/>
      <c r="S127" s="324"/>
      <c r="T127" s="324"/>
      <c r="U127" s="324"/>
      <c r="V127" s="324"/>
      <c r="W127" s="324"/>
      <c r="X127" s="324"/>
      <c r="Y127" s="324"/>
      <c r="Z127" s="324"/>
      <c r="AA127" s="324"/>
      <c r="AB127" s="324"/>
      <c r="AC127" s="324"/>
      <c r="AD127" s="324"/>
    </row>
    <row r="128" spans="1:30" s="7" customFormat="1">
      <c r="A128" s="133"/>
      <c r="B128" s="189"/>
      <c r="C128" s="214"/>
      <c r="D128" s="218"/>
      <c r="E128" s="5" t="str">
        <f t="shared" si="6"/>
        <v/>
      </c>
      <c r="F128" s="220" t="str">
        <f t="shared" si="7"/>
        <v/>
      </c>
      <c r="G128" s="143" t="str">
        <f t="shared" si="8"/>
        <v/>
      </c>
      <c r="H128" s="230"/>
      <c r="I128" s="324"/>
      <c r="J128" s="324"/>
      <c r="K128" s="233"/>
      <c r="L128" s="233"/>
      <c r="M128" s="230"/>
      <c r="N128" s="324"/>
      <c r="O128" s="324"/>
      <c r="P128" s="324"/>
      <c r="Q128" s="324"/>
      <c r="R128" s="324"/>
      <c r="S128" s="324"/>
      <c r="T128" s="324"/>
      <c r="U128" s="324"/>
      <c r="V128" s="324"/>
      <c r="W128" s="324"/>
      <c r="X128" s="324"/>
      <c r="Y128" s="324"/>
      <c r="Z128" s="324"/>
      <c r="AA128" s="324"/>
      <c r="AB128" s="324"/>
      <c r="AC128" s="324"/>
      <c r="AD128" s="324"/>
    </row>
    <row r="129" spans="1:30" s="7" customFormat="1">
      <c r="A129" s="133"/>
      <c r="B129" s="189"/>
      <c r="C129" s="214"/>
      <c r="D129" s="218"/>
      <c r="E129" s="5" t="str">
        <f t="shared" si="6"/>
        <v/>
      </c>
      <c r="F129" s="220" t="str">
        <f t="shared" si="7"/>
        <v/>
      </c>
      <c r="G129" s="143" t="str">
        <f t="shared" si="8"/>
        <v/>
      </c>
      <c r="H129" s="230"/>
      <c r="I129" s="324"/>
      <c r="J129" s="324"/>
      <c r="K129" s="233"/>
      <c r="L129" s="233"/>
      <c r="M129" s="230"/>
      <c r="N129" s="324"/>
      <c r="O129" s="324"/>
      <c r="P129" s="324"/>
      <c r="Q129" s="324"/>
      <c r="R129" s="324"/>
      <c r="S129" s="324"/>
      <c r="T129" s="324"/>
      <c r="U129" s="324"/>
      <c r="V129" s="324"/>
      <c r="W129" s="324"/>
      <c r="X129" s="324"/>
      <c r="Y129" s="324"/>
      <c r="Z129" s="324"/>
      <c r="AA129" s="324"/>
      <c r="AB129" s="324"/>
      <c r="AC129" s="324"/>
      <c r="AD129" s="324"/>
    </row>
    <row r="130" spans="1:30" s="7" customFormat="1">
      <c r="A130" s="133"/>
      <c r="B130" s="189"/>
      <c r="C130" s="214"/>
      <c r="D130" s="218"/>
      <c r="E130" s="5" t="str">
        <f t="shared" si="6"/>
        <v/>
      </c>
      <c r="F130" s="220" t="str">
        <f t="shared" si="7"/>
        <v/>
      </c>
      <c r="G130" s="143" t="str">
        <f t="shared" si="8"/>
        <v/>
      </c>
      <c r="H130" s="230"/>
      <c r="I130" s="324"/>
      <c r="J130" s="324"/>
      <c r="K130" s="233"/>
      <c r="L130" s="233"/>
      <c r="M130" s="230"/>
      <c r="N130" s="324"/>
      <c r="O130" s="324"/>
      <c r="P130" s="324"/>
      <c r="Q130" s="324"/>
      <c r="R130" s="324"/>
      <c r="S130" s="324"/>
      <c r="T130" s="324"/>
      <c r="U130" s="324"/>
      <c r="V130" s="324"/>
      <c r="W130" s="324"/>
      <c r="X130" s="324"/>
      <c r="Y130" s="324"/>
      <c r="Z130" s="324"/>
      <c r="AA130" s="324"/>
      <c r="AB130" s="324"/>
      <c r="AC130" s="324"/>
      <c r="AD130" s="324"/>
    </row>
    <row r="131" spans="1:30" s="7" customFormat="1">
      <c r="A131" s="133"/>
      <c r="B131" s="189"/>
      <c r="C131" s="214"/>
      <c r="D131" s="218"/>
      <c r="E131" s="5" t="str">
        <f t="shared" si="6"/>
        <v/>
      </c>
      <c r="F131" s="220" t="str">
        <f t="shared" si="7"/>
        <v/>
      </c>
      <c r="G131" s="143" t="str">
        <f t="shared" si="8"/>
        <v/>
      </c>
      <c r="H131" s="230"/>
      <c r="I131" s="324"/>
      <c r="J131" s="324"/>
      <c r="K131" s="233"/>
      <c r="L131" s="233"/>
      <c r="M131" s="230"/>
      <c r="N131" s="324"/>
      <c r="O131" s="324"/>
      <c r="P131" s="324"/>
      <c r="Q131" s="324"/>
      <c r="R131" s="324"/>
      <c r="S131" s="324"/>
      <c r="T131" s="324"/>
      <c r="U131" s="324"/>
      <c r="V131" s="324"/>
      <c r="W131" s="324"/>
      <c r="X131" s="324"/>
      <c r="Y131" s="324"/>
      <c r="Z131" s="324"/>
      <c r="AA131" s="324"/>
      <c r="AB131" s="324"/>
      <c r="AC131" s="324"/>
      <c r="AD131" s="324"/>
    </row>
    <row r="132" spans="1:30" s="7" customFormat="1">
      <c r="A132" s="133"/>
      <c r="B132" s="189"/>
      <c r="C132" s="214"/>
      <c r="D132" s="218"/>
      <c r="E132" s="5" t="str">
        <f t="shared" si="6"/>
        <v/>
      </c>
      <c r="F132" s="220" t="str">
        <f t="shared" si="7"/>
        <v/>
      </c>
      <c r="G132" s="143" t="str">
        <f t="shared" si="8"/>
        <v/>
      </c>
      <c r="H132" s="230"/>
      <c r="I132" s="324"/>
      <c r="J132" s="324"/>
      <c r="K132" s="233"/>
      <c r="L132" s="233"/>
      <c r="M132" s="230"/>
      <c r="N132" s="324"/>
      <c r="O132" s="324"/>
      <c r="P132" s="324"/>
      <c r="Q132" s="324"/>
      <c r="R132" s="324"/>
      <c r="S132" s="324"/>
      <c r="T132" s="324"/>
      <c r="U132" s="324"/>
      <c r="V132" s="324"/>
      <c r="W132" s="324"/>
      <c r="X132" s="324"/>
      <c r="Y132" s="324"/>
      <c r="Z132" s="324"/>
      <c r="AA132" s="324"/>
      <c r="AB132" s="324"/>
      <c r="AC132" s="324"/>
      <c r="AD132" s="324"/>
    </row>
    <row r="133" spans="1:30" s="7" customFormat="1">
      <c r="A133" s="133"/>
      <c r="B133" s="189"/>
      <c r="C133" s="214"/>
      <c r="D133" s="218"/>
      <c r="E133" s="5" t="str">
        <f t="shared" si="6"/>
        <v/>
      </c>
      <c r="F133" s="220" t="str">
        <f t="shared" si="7"/>
        <v/>
      </c>
      <c r="G133" s="143" t="str">
        <f t="shared" si="8"/>
        <v/>
      </c>
      <c r="H133" s="230"/>
      <c r="I133" s="324"/>
      <c r="J133" s="324"/>
      <c r="K133" s="233"/>
      <c r="L133" s="233"/>
      <c r="M133" s="230"/>
      <c r="N133" s="324"/>
      <c r="O133" s="324"/>
      <c r="P133" s="324"/>
      <c r="Q133" s="324"/>
      <c r="R133" s="324"/>
      <c r="S133" s="324"/>
      <c r="T133" s="324"/>
      <c r="U133" s="324"/>
      <c r="V133" s="324"/>
      <c r="W133" s="324"/>
      <c r="X133" s="324"/>
      <c r="Y133" s="324"/>
      <c r="Z133" s="324"/>
      <c r="AA133" s="324"/>
      <c r="AB133" s="324"/>
      <c r="AC133" s="324"/>
      <c r="AD133" s="324"/>
    </row>
    <row r="134" spans="1:30" s="7" customFormat="1">
      <c r="A134" s="133"/>
      <c r="B134" s="189"/>
      <c r="C134" s="214"/>
      <c r="D134" s="218"/>
      <c r="E134" s="5" t="str">
        <f t="shared" si="6"/>
        <v/>
      </c>
      <c r="F134" s="220" t="str">
        <f t="shared" si="7"/>
        <v/>
      </c>
      <c r="G134" s="143" t="str">
        <f t="shared" si="8"/>
        <v/>
      </c>
      <c r="H134" s="230"/>
      <c r="I134" s="324"/>
      <c r="J134" s="324"/>
      <c r="K134" s="233"/>
      <c r="L134" s="233"/>
      <c r="M134" s="230"/>
      <c r="N134" s="324"/>
      <c r="O134" s="324"/>
      <c r="P134" s="324"/>
      <c r="Q134" s="324"/>
      <c r="R134" s="324"/>
      <c r="S134" s="324"/>
      <c r="T134" s="324"/>
      <c r="U134" s="324"/>
      <c r="V134" s="324"/>
      <c r="W134" s="324"/>
      <c r="X134" s="324"/>
      <c r="Y134" s="324"/>
      <c r="Z134" s="324"/>
      <c r="AA134" s="324"/>
      <c r="AB134" s="324"/>
      <c r="AC134" s="324"/>
      <c r="AD134" s="324"/>
    </row>
    <row r="135" spans="1:30" s="7" customFormat="1">
      <c r="A135" s="133"/>
      <c r="B135" s="189"/>
      <c r="C135" s="214"/>
      <c r="D135" s="218"/>
      <c r="E135" s="5" t="str">
        <f t="shared" si="6"/>
        <v/>
      </c>
      <c r="F135" s="220" t="str">
        <f t="shared" si="7"/>
        <v/>
      </c>
      <c r="G135" s="143" t="str">
        <f t="shared" si="8"/>
        <v/>
      </c>
      <c r="H135" s="230"/>
      <c r="I135" s="324"/>
      <c r="J135" s="324"/>
      <c r="K135" s="233"/>
      <c r="L135" s="233"/>
      <c r="M135" s="230"/>
      <c r="N135" s="324"/>
      <c r="O135" s="324"/>
      <c r="P135" s="324"/>
      <c r="Q135" s="324"/>
      <c r="R135" s="324"/>
      <c r="S135" s="324"/>
      <c r="T135" s="324"/>
      <c r="U135" s="324"/>
      <c r="V135" s="324"/>
      <c r="W135" s="324"/>
      <c r="X135" s="324"/>
      <c r="Y135" s="324"/>
      <c r="Z135" s="324"/>
      <c r="AA135" s="324"/>
      <c r="AB135" s="324"/>
      <c r="AC135" s="324"/>
      <c r="AD135" s="324"/>
    </row>
    <row r="136" spans="1:30" s="7" customFormat="1">
      <c r="A136" s="133"/>
      <c r="B136" s="189"/>
      <c r="C136" s="214"/>
      <c r="D136" s="218"/>
      <c r="E136" s="5" t="str">
        <f t="shared" si="6"/>
        <v/>
      </c>
      <c r="F136" s="220" t="str">
        <f t="shared" si="7"/>
        <v/>
      </c>
      <c r="G136" s="143" t="str">
        <f t="shared" si="8"/>
        <v/>
      </c>
      <c r="H136" s="230"/>
      <c r="I136" s="324"/>
      <c r="J136" s="324"/>
      <c r="K136" s="233"/>
      <c r="L136" s="233"/>
      <c r="M136" s="230"/>
      <c r="N136" s="324"/>
      <c r="O136" s="324"/>
      <c r="P136" s="324"/>
      <c r="Q136" s="324"/>
      <c r="R136" s="324"/>
      <c r="S136" s="324"/>
      <c r="T136" s="324"/>
      <c r="U136" s="324"/>
      <c r="V136" s="324"/>
      <c r="W136" s="324"/>
      <c r="X136" s="324"/>
      <c r="Y136" s="324"/>
      <c r="Z136" s="324"/>
      <c r="AA136" s="324"/>
      <c r="AB136" s="324"/>
      <c r="AC136" s="324"/>
      <c r="AD136" s="324"/>
    </row>
    <row r="137" spans="1:30" s="7" customFormat="1">
      <c r="A137" s="133"/>
      <c r="B137" s="189"/>
      <c r="C137" s="214"/>
      <c r="D137" s="218"/>
      <c r="E137" s="5" t="str">
        <f t="shared" si="6"/>
        <v/>
      </c>
      <c r="F137" s="220" t="str">
        <f t="shared" si="7"/>
        <v/>
      </c>
      <c r="G137" s="143" t="str">
        <f t="shared" si="8"/>
        <v/>
      </c>
      <c r="H137" s="230"/>
      <c r="I137" s="324"/>
      <c r="J137" s="324"/>
      <c r="K137" s="233"/>
      <c r="L137" s="233"/>
      <c r="M137" s="230"/>
      <c r="N137" s="324"/>
      <c r="O137" s="324"/>
      <c r="P137" s="324"/>
      <c r="Q137" s="324"/>
      <c r="R137" s="324"/>
      <c r="S137" s="324"/>
      <c r="T137" s="324"/>
      <c r="U137" s="324"/>
      <c r="V137" s="324"/>
      <c r="W137" s="324"/>
      <c r="X137" s="324"/>
      <c r="Y137" s="324"/>
      <c r="Z137" s="324"/>
      <c r="AA137" s="324"/>
      <c r="AB137" s="324"/>
      <c r="AC137" s="324"/>
      <c r="AD137" s="324"/>
    </row>
    <row r="138" spans="1:30" s="7" customFormat="1">
      <c r="A138" s="133"/>
      <c r="B138" s="189"/>
      <c r="C138" s="214"/>
      <c r="D138" s="218"/>
      <c r="E138" s="5" t="str">
        <f t="shared" si="6"/>
        <v/>
      </c>
      <c r="F138" s="220" t="str">
        <f t="shared" si="7"/>
        <v/>
      </c>
      <c r="G138" s="143" t="str">
        <f t="shared" si="8"/>
        <v/>
      </c>
      <c r="H138" s="230"/>
      <c r="I138" s="324"/>
      <c r="J138" s="324"/>
      <c r="K138" s="233"/>
      <c r="L138" s="233"/>
      <c r="M138" s="230"/>
      <c r="N138" s="324"/>
      <c r="O138" s="324"/>
      <c r="P138" s="324"/>
      <c r="Q138" s="324"/>
      <c r="R138" s="324"/>
      <c r="S138" s="324"/>
      <c r="T138" s="324"/>
      <c r="U138" s="324"/>
      <c r="V138" s="324"/>
      <c r="W138" s="324"/>
      <c r="X138" s="324"/>
      <c r="Y138" s="324"/>
      <c r="Z138" s="324"/>
      <c r="AA138" s="324"/>
      <c r="AB138" s="324"/>
      <c r="AC138" s="324"/>
      <c r="AD138" s="324"/>
    </row>
    <row r="139" spans="1:30" s="7" customFormat="1">
      <c r="A139" s="133"/>
      <c r="B139" s="189"/>
      <c r="C139" s="214"/>
      <c r="D139" s="218"/>
      <c r="E139" s="5" t="str">
        <f t="shared" si="6"/>
        <v/>
      </c>
      <c r="F139" s="220" t="str">
        <f t="shared" si="7"/>
        <v/>
      </c>
      <c r="G139" s="143" t="str">
        <f t="shared" si="8"/>
        <v/>
      </c>
      <c r="H139" s="230"/>
      <c r="I139" s="324"/>
      <c r="J139" s="324"/>
      <c r="K139" s="233"/>
      <c r="L139" s="233"/>
      <c r="M139" s="230"/>
      <c r="N139" s="324"/>
      <c r="O139" s="324"/>
      <c r="P139" s="324"/>
      <c r="Q139" s="324"/>
      <c r="R139" s="324"/>
      <c r="S139" s="324"/>
      <c r="T139" s="324"/>
      <c r="U139" s="324"/>
      <c r="V139" s="324"/>
      <c r="W139" s="324"/>
      <c r="X139" s="324"/>
      <c r="Y139" s="324"/>
      <c r="Z139" s="324"/>
      <c r="AA139" s="324"/>
      <c r="AB139" s="324"/>
      <c r="AC139" s="324"/>
      <c r="AD139" s="324"/>
    </row>
    <row r="140" spans="1:30" s="7" customFormat="1">
      <c r="A140" s="133"/>
      <c r="B140" s="189"/>
      <c r="C140" s="214"/>
      <c r="D140" s="218"/>
      <c r="E140" s="5" t="str">
        <f t="shared" si="6"/>
        <v/>
      </c>
      <c r="F140" s="220" t="str">
        <f t="shared" si="7"/>
        <v/>
      </c>
      <c r="G140" s="143" t="str">
        <f t="shared" si="8"/>
        <v/>
      </c>
      <c r="H140" s="230"/>
      <c r="I140" s="324"/>
      <c r="J140" s="324"/>
      <c r="K140" s="233"/>
      <c r="L140" s="233"/>
      <c r="M140" s="230"/>
      <c r="N140" s="324"/>
      <c r="O140" s="324"/>
      <c r="P140" s="324"/>
      <c r="Q140" s="324"/>
      <c r="R140" s="324"/>
      <c r="S140" s="324"/>
      <c r="T140" s="324"/>
      <c r="U140" s="324"/>
      <c r="V140" s="324"/>
      <c r="W140" s="324"/>
      <c r="X140" s="324"/>
      <c r="Y140" s="324"/>
      <c r="Z140" s="324"/>
      <c r="AA140" s="324"/>
      <c r="AB140" s="324"/>
      <c r="AC140" s="324"/>
      <c r="AD140" s="324"/>
    </row>
    <row r="141" spans="1:30" s="7" customFormat="1">
      <c r="A141" s="133"/>
      <c r="B141" s="189"/>
      <c r="C141" s="214"/>
      <c r="D141" s="218"/>
      <c r="E141" s="5" t="str">
        <f t="shared" si="6"/>
        <v/>
      </c>
      <c r="F141" s="220" t="str">
        <f t="shared" si="7"/>
        <v/>
      </c>
      <c r="G141" s="143" t="str">
        <f t="shared" si="8"/>
        <v/>
      </c>
      <c r="H141" s="230"/>
      <c r="I141" s="324"/>
      <c r="J141" s="324"/>
      <c r="K141" s="233"/>
      <c r="L141" s="233"/>
      <c r="M141" s="230"/>
      <c r="N141" s="324"/>
      <c r="O141" s="324"/>
      <c r="P141" s="324"/>
      <c r="Q141" s="324"/>
      <c r="R141" s="324"/>
      <c r="S141" s="324"/>
      <c r="T141" s="324"/>
      <c r="U141" s="324"/>
      <c r="V141" s="324"/>
      <c r="W141" s="324"/>
      <c r="X141" s="324"/>
      <c r="Y141" s="324"/>
      <c r="Z141" s="324"/>
      <c r="AA141" s="324"/>
      <c r="AB141" s="324"/>
      <c r="AC141" s="324"/>
      <c r="AD141" s="324"/>
    </row>
    <row r="142" spans="1:30" s="7" customFormat="1">
      <c r="A142" s="133"/>
      <c r="B142" s="189"/>
      <c r="C142" s="214"/>
      <c r="D142" s="218"/>
      <c r="E142" s="5" t="str">
        <f t="shared" si="6"/>
        <v/>
      </c>
      <c r="F142" s="220" t="str">
        <f t="shared" si="7"/>
        <v/>
      </c>
      <c r="G142" s="143" t="str">
        <f t="shared" si="8"/>
        <v/>
      </c>
      <c r="H142" s="230"/>
      <c r="I142" s="324"/>
      <c r="J142" s="324"/>
      <c r="K142" s="233"/>
      <c r="L142" s="233"/>
      <c r="M142" s="230"/>
      <c r="N142" s="324"/>
      <c r="O142" s="324"/>
      <c r="P142" s="324"/>
      <c r="Q142" s="324"/>
      <c r="R142" s="324"/>
      <c r="S142" s="324"/>
      <c r="T142" s="324"/>
      <c r="U142" s="324"/>
      <c r="V142" s="324"/>
      <c r="W142" s="324"/>
      <c r="X142" s="324"/>
      <c r="Y142" s="324"/>
      <c r="Z142" s="324"/>
      <c r="AA142" s="324"/>
      <c r="AB142" s="324"/>
      <c r="AC142" s="324"/>
      <c r="AD142" s="324"/>
    </row>
    <row r="143" spans="1:30" s="7" customFormat="1">
      <c r="A143" s="133"/>
      <c r="B143" s="189"/>
      <c r="C143" s="214"/>
      <c r="D143" s="218"/>
      <c r="E143" s="5" t="str">
        <f t="shared" si="6"/>
        <v/>
      </c>
      <c r="F143" s="220" t="str">
        <f t="shared" si="7"/>
        <v/>
      </c>
      <c r="G143" s="143" t="str">
        <f t="shared" si="8"/>
        <v/>
      </c>
      <c r="H143" s="230"/>
      <c r="I143" s="324"/>
      <c r="J143" s="324"/>
      <c r="K143" s="233"/>
      <c r="L143" s="233"/>
      <c r="M143" s="230"/>
      <c r="N143" s="324"/>
      <c r="O143" s="324"/>
      <c r="P143" s="324"/>
      <c r="Q143" s="324"/>
      <c r="R143" s="324"/>
      <c r="S143" s="324"/>
      <c r="T143" s="324"/>
      <c r="U143" s="324"/>
      <c r="V143" s="324"/>
      <c r="W143" s="324"/>
      <c r="X143" s="324"/>
      <c r="Y143" s="324"/>
      <c r="Z143" s="324"/>
      <c r="AA143" s="324"/>
      <c r="AB143" s="324"/>
      <c r="AC143" s="324"/>
      <c r="AD143" s="324"/>
    </row>
    <row r="144" spans="1:30" s="7" customFormat="1" ht="13.5" thickBot="1">
      <c r="A144" s="134"/>
      <c r="B144" s="213"/>
      <c r="C144" s="222"/>
      <c r="D144" s="219"/>
      <c r="E144" s="114" t="str">
        <f t="shared" si="6"/>
        <v/>
      </c>
      <c r="F144" s="223" t="str">
        <f t="shared" si="7"/>
        <v/>
      </c>
      <c r="G144" s="159" t="str">
        <f t="shared" si="8"/>
        <v/>
      </c>
      <c r="H144" s="230"/>
      <c r="I144" s="326"/>
      <c r="J144" s="326"/>
      <c r="K144" s="326"/>
      <c r="L144" s="233"/>
      <c r="M144" s="230"/>
      <c r="N144" s="324"/>
      <c r="O144" s="324"/>
      <c r="P144" s="324"/>
      <c r="Q144" s="324"/>
      <c r="R144" s="324"/>
      <c r="S144" s="324"/>
      <c r="T144" s="324"/>
      <c r="U144" s="324"/>
      <c r="V144" s="324"/>
      <c r="W144" s="324"/>
      <c r="X144" s="324"/>
      <c r="Y144" s="324"/>
      <c r="Z144" s="324"/>
      <c r="AA144" s="324"/>
      <c r="AB144" s="324"/>
      <c r="AC144" s="324"/>
      <c r="AD144" s="324"/>
    </row>
    <row r="145" spans="1:30" s="7" customFormat="1" ht="13.5" thickBot="1">
      <c r="A145" s="167" t="s">
        <v>657</v>
      </c>
      <c r="B145" s="57"/>
      <c r="C145" s="221"/>
      <c r="D145" s="192"/>
      <c r="E145" s="59">
        <f>SUM(E113:E144)</f>
        <v>0</v>
      </c>
      <c r="F145" s="149">
        <f>SUM(F113:F144)</f>
        <v>0</v>
      </c>
      <c r="G145" s="144">
        <f>SUM(G113:G144)</f>
        <v>0</v>
      </c>
      <c r="H145" s="230"/>
      <c r="I145" s="324"/>
      <c r="J145" s="324"/>
      <c r="K145" s="233"/>
      <c r="L145" s="233"/>
      <c r="M145" s="230"/>
      <c r="N145" s="324"/>
      <c r="O145" s="324"/>
      <c r="P145" s="324"/>
      <c r="Q145" s="324"/>
      <c r="R145" s="324"/>
      <c r="S145" s="324"/>
      <c r="T145" s="324"/>
      <c r="U145" s="324"/>
      <c r="V145" s="324"/>
      <c r="W145" s="324"/>
      <c r="X145" s="324"/>
      <c r="Y145" s="324"/>
      <c r="Z145" s="324"/>
      <c r="AA145" s="324"/>
      <c r="AB145" s="324"/>
      <c r="AC145" s="324"/>
      <c r="AD145" s="324"/>
    </row>
    <row r="146" spans="1:30" s="7" customFormat="1">
      <c r="A146" s="324"/>
      <c r="B146" s="324"/>
      <c r="C146" s="325"/>
      <c r="D146" s="326"/>
      <c r="E146" s="326"/>
      <c r="F146" s="327"/>
      <c r="G146" s="327"/>
      <c r="H146" s="230"/>
      <c r="I146" s="324"/>
      <c r="J146" s="324"/>
      <c r="K146" s="233"/>
      <c r="L146" s="233"/>
      <c r="M146" s="230"/>
      <c r="N146" s="324"/>
      <c r="O146" s="324"/>
      <c r="P146" s="324"/>
      <c r="Q146" s="324"/>
      <c r="R146" s="324"/>
      <c r="S146" s="324"/>
      <c r="T146" s="324"/>
      <c r="U146" s="324"/>
      <c r="V146" s="324"/>
      <c r="W146" s="324"/>
      <c r="X146" s="324"/>
      <c r="Y146" s="324"/>
      <c r="Z146" s="324"/>
      <c r="AA146" s="324"/>
      <c r="AB146" s="324"/>
      <c r="AC146" s="324"/>
      <c r="AD146" s="324"/>
    </row>
    <row r="147" spans="1:30" s="7" customFormat="1">
      <c r="A147" s="361" t="s">
        <v>377</v>
      </c>
      <c r="B147" s="321"/>
      <c r="C147" s="321"/>
      <c r="D147" s="321"/>
      <c r="E147" s="321"/>
      <c r="F147" s="321"/>
      <c r="G147" s="321"/>
      <c r="H147" s="324"/>
      <c r="I147" s="324"/>
      <c r="J147" s="324"/>
      <c r="K147" s="324"/>
      <c r="L147" s="233"/>
      <c r="M147" s="233"/>
      <c r="N147" s="230"/>
      <c r="O147" s="324"/>
      <c r="P147" s="324"/>
      <c r="Q147" s="324"/>
      <c r="R147" s="324"/>
      <c r="S147" s="324"/>
      <c r="T147" s="324"/>
      <c r="U147" s="324"/>
      <c r="V147" s="324"/>
      <c r="W147" s="324"/>
      <c r="X147" s="324"/>
      <c r="Y147" s="324"/>
      <c r="Z147" s="324"/>
      <c r="AA147" s="324"/>
      <c r="AB147" s="324"/>
      <c r="AC147" s="324"/>
      <c r="AD147" s="324"/>
    </row>
    <row r="148" spans="1:30" s="7" customFormat="1">
      <c r="A148" s="78"/>
      <c r="B148" s="78"/>
      <c r="C148" s="78"/>
      <c r="D148" s="78"/>
      <c r="E148" s="78"/>
      <c r="F148" s="78"/>
      <c r="G148" s="78"/>
      <c r="H148" s="324"/>
      <c r="I148" s="324"/>
      <c r="J148" s="324"/>
      <c r="K148" s="324"/>
      <c r="L148" s="233"/>
      <c r="M148" s="233"/>
      <c r="N148" s="230"/>
      <c r="O148" s="324"/>
      <c r="P148" s="324"/>
      <c r="Q148" s="324"/>
      <c r="R148" s="324"/>
      <c r="S148" s="324"/>
      <c r="T148" s="324"/>
      <c r="U148" s="324"/>
      <c r="V148" s="324"/>
      <c r="W148" s="324"/>
      <c r="X148" s="324"/>
      <c r="Y148" s="324"/>
      <c r="Z148" s="324"/>
      <c r="AA148" s="324"/>
      <c r="AB148" s="324"/>
      <c r="AC148" s="324"/>
      <c r="AD148" s="324"/>
    </row>
    <row r="149" spans="1:30" s="7" customFormat="1" ht="15" thickBot="1">
      <c r="A149" s="13" t="s">
        <v>359</v>
      </c>
      <c r="B149" s="78"/>
      <c r="C149" s="78"/>
      <c r="D149" s="78"/>
      <c r="E149" s="78"/>
      <c r="F149" s="78"/>
      <c r="G149" s="78"/>
      <c r="H149" s="324"/>
      <c r="I149" s="324"/>
      <c r="J149" s="324"/>
      <c r="K149" s="324"/>
      <c r="L149" s="324"/>
      <c r="M149" s="233"/>
      <c r="N149" s="230"/>
      <c r="O149" s="324"/>
      <c r="P149" s="324"/>
      <c r="Q149" s="324"/>
      <c r="R149" s="324"/>
      <c r="S149" s="324"/>
      <c r="T149" s="324"/>
      <c r="U149" s="324"/>
      <c r="V149" s="324"/>
      <c r="W149" s="324"/>
      <c r="X149" s="324"/>
      <c r="Y149" s="324"/>
      <c r="Z149" s="324"/>
      <c r="AA149" s="324"/>
      <c r="AB149" s="324"/>
      <c r="AC149" s="324"/>
      <c r="AD149" s="324"/>
    </row>
    <row r="150" spans="1:30" s="7" customFormat="1" ht="15" thickBot="1">
      <c r="A150" s="1260" t="s">
        <v>343</v>
      </c>
      <c r="B150" s="1261"/>
      <c r="C150" s="21" t="s">
        <v>344</v>
      </c>
      <c r="D150" s="21" t="s">
        <v>345</v>
      </c>
      <c r="E150" s="22" t="s">
        <v>307</v>
      </c>
      <c r="F150" s="78"/>
      <c r="G150" s="78"/>
      <c r="H150" s="324"/>
      <c r="I150" s="324"/>
      <c r="J150" s="324"/>
      <c r="K150" s="324"/>
      <c r="L150" s="324"/>
      <c r="M150" s="233"/>
      <c r="N150" s="230"/>
      <c r="O150" s="324"/>
      <c r="P150" s="324"/>
      <c r="Q150" s="324"/>
      <c r="R150" s="324"/>
      <c r="S150" s="324"/>
      <c r="T150" s="324"/>
      <c r="U150" s="324"/>
      <c r="V150" s="324"/>
      <c r="W150" s="324"/>
      <c r="X150" s="324"/>
      <c r="Y150" s="324"/>
      <c r="Z150" s="324"/>
      <c r="AA150" s="324"/>
      <c r="AB150" s="324"/>
      <c r="AC150" s="324"/>
      <c r="AD150" s="324"/>
    </row>
    <row r="151" spans="1:30" s="7" customFormat="1">
      <c r="A151" s="1262" t="s">
        <v>3</v>
      </c>
      <c r="B151" s="1263"/>
      <c r="C151" s="76">
        <f>SUMIF($C$17:$C$54,$A151,E$17:E$54)</f>
        <v>0</v>
      </c>
      <c r="D151" s="76">
        <f t="shared" ref="C151:E153" si="9">SUMIF($C$17:$C$54,$A151,F$17:F$54)</f>
        <v>0</v>
      </c>
      <c r="E151" s="561">
        <f t="shared" si="9"/>
        <v>0</v>
      </c>
      <c r="F151" s="78"/>
      <c r="G151" s="78"/>
      <c r="H151" s="324"/>
      <c r="I151" s="324"/>
      <c r="J151" s="324"/>
      <c r="K151" s="324"/>
      <c r="L151" s="324"/>
      <c r="M151" s="233"/>
      <c r="N151" s="230"/>
      <c r="O151" s="324"/>
      <c r="P151" s="324"/>
      <c r="Q151" s="324"/>
      <c r="R151" s="324"/>
      <c r="S151" s="324"/>
      <c r="T151" s="324"/>
      <c r="U151" s="324"/>
      <c r="V151" s="324"/>
      <c r="W151" s="324"/>
      <c r="X151" s="324"/>
      <c r="Y151" s="324"/>
      <c r="Z151" s="324"/>
      <c r="AA151" s="324"/>
      <c r="AB151" s="324"/>
      <c r="AC151" s="324"/>
      <c r="AD151" s="324"/>
    </row>
    <row r="152" spans="1:30" s="7" customFormat="1">
      <c r="A152" s="1256" t="s">
        <v>4</v>
      </c>
      <c r="B152" s="1257"/>
      <c r="C152" s="80">
        <f t="shared" si="9"/>
        <v>0</v>
      </c>
      <c r="D152" s="80">
        <f t="shared" si="9"/>
        <v>0</v>
      </c>
      <c r="E152" s="562">
        <f t="shared" si="9"/>
        <v>0</v>
      </c>
      <c r="F152" s="78"/>
      <c r="G152" s="78"/>
      <c r="H152" s="324"/>
      <c r="I152" s="324"/>
      <c r="J152" s="324"/>
      <c r="K152" s="324"/>
      <c r="L152" s="324"/>
      <c r="M152" s="233"/>
      <c r="N152" s="230"/>
      <c r="O152" s="324"/>
      <c r="P152" s="324"/>
      <c r="Q152" s="324"/>
      <c r="R152" s="324"/>
      <c r="S152" s="324"/>
      <c r="T152" s="324"/>
      <c r="U152" s="324"/>
      <c r="V152" s="324"/>
      <c r="W152" s="324"/>
      <c r="X152" s="324"/>
      <c r="Y152" s="324"/>
      <c r="Z152" s="324"/>
      <c r="AA152" s="324"/>
      <c r="AB152" s="324"/>
      <c r="AC152" s="324"/>
      <c r="AD152" s="324"/>
    </row>
    <row r="153" spans="1:30" s="7" customFormat="1">
      <c r="A153" s="1256" t="s">
        <v>5</v>
      </c>
      <c r="B153" s="1257"/>
      <c r="C153" s="80">
        <f t="shared" si="9"/>
        <v>0</v>
      </c>
      <c r="D153" s="80">
        <f t="shared" si="9"/>
        <v>0</v>
      </c>
      <c r="E153" s="562">
        <f t="shared" si="9"/>
        <v>0</v>
      </c>
      <c r="F153" s="78"/>
      <c r="G153" s="78"/>
      <c r="H153" s="324"/>
      <c r="I153" s="324"/>
      <c r="J153" s="324"/>
      <c r="K153" s="324"/>
      <c r="L153" s="324"/>
      <c r="M153" s="233"/>
      <c r="N153" s="230"/>
      <c r="O153" s="324"/>
      <c r="P153" s="324"/>
      <c r="Q153" s="324"/>
      <c r="R153" s="324"/>
      <c r="S153" s="324"/>
      <c r="T153" s="324"/>
      <c r="U153" s="324"/>
      <c r="V153" s="324"/>
      <c r="W153" s="324"/>
      <c r="X153" s="324"/>
      <c r="Y153" s="324"/>
      <c r="Z153" s="324"/>
      <c r="AA153" s="324"/>
      <c r="AB153" s="324"/>
      <c r="AC153" s="324"/>
      <c r="AD153" s="324"/>
    </row>
    <row r="154" spans="1:30" s="7" customFormat="1">
      <c r="A154" s="1256" t="s">
        <v>1368</v>
      </c>
      <c r="B154" s="1257"/>
      <c r="C154" s="80">
        <f t="shared" ref="C154:E159" si="10">SUMIF($C$60:$C$107,$A154,E$60:E$107)</f>
        <v>0</v>
      </c>
      <c r="D154" s="80">
        <f t="shared" si="10"/>
        <v>0</v>
      </c>
      <c r="E154" s="562">
        <f t="shared" si="10"/>
        <v>0</v>
      </c>
      <c r="F154" s="78"/>
      <c r="G154" s="78"/>
      <c r="H154" s="324"/>
      <c r="I154" s="324"/>
      <c r="J154" s="324"/>
      <c r="K154" s="324"/>
      <c r="L154" s="324"/>
      <c r="M154" s="233"/>
      <c r="N154" s="230"/>
      <c r="O154" s="324"/>
      <c r="P154" s="324"/>
      <c r="Q154" s="324"/>
      <c r="R154" s="324"/>
      <c r="S154" s="324"/>
      <c r="T154" s="324"/>
      <c r="U154" s="324"/>
      <c r="V154" s="324"/>
      <c r="W154" s="324"/>
      <c r="X154" s="324"/>
      <c r="Y154" s="324"/>
      <c r="Z154" s="324"/>
      <c r="AA154" s="324"/>
      <c r="AB154" s="324"/>
      <c r="AC154" s="324"/>
      <c r="AD154" s="324"/>
    </row>
    <row r="155" spans="1:30" s="7" customFormat="1">
      <c r="A155" s="1256" t="s">
        <v>1369</v>
      </c>
      <c r="B155" s="1257"/>
      <c r="C155" s="80">
        <f t="shared" ref="C155:C156" si="11">SUMIF($C$60:$C$107,$A155,E$60:E$107)</f>
        <v>0</v>
      </c>
      <c r="D155" s="80">
        <f t="shared" ref="D155:D156" si="12">SUMIF($C$60:$C$107,$A155,F$60:F$107)</f>
        <v>0</v>
      </c>
      <c r="E155" s="562">
        <f t="shared" ref="E155:E156" si="13">SUMIF($C$60:$C$107,$A155,G$60:G$107)</f>
        <v>0</v>
      </c>
      <c r="F155" s="78"/>
      <c r="G155" s="78"/>
      <c r="H155" s="324"/>
      <c r="I155" s="324"/>
      <c r="J155" s="324"/>
      <c r="K155" s="324"/>
      <c r="L155" s="324"/>
      <c r="M155" s="233"/>
      <c r="N155" s="230"/>
      <c r="O155" s="324"/>
      <c r="P155" s="324"/>
      <c r="Q155" s="324"/>
      <c r="R155" s="324"/>
      <c r="S155" s="324"/>
      <c r="T155" s="324"/>
      <c r="U155" s="324"/>
      <c r="V155" s="324"/>
      <c r="W155" s="324"/>
      <c r="X155" s="324"/>
      <c r="Y155" s="324"/>
      <c r="Z155" s="324"/>
      <c r="AA155" s="324"/>
      <c r="AB155" s="324"/>
      <c r="AC155" s="324"/>
      <c r="AD155" s="324"/>
    </row>
    <row r="156" spans="1:30" s="7" customFormat="1">
      <c r="A156" s="1256" t="s">
        <v>1370</v>
      </c>
      <c r="B156" s="1257"/>
      <c r="C156" s="80">
        <f t="shared" si="11"/>
        <v>0</v>
      </c>
      <c r="D156" s="80">
        <f t="shared" si="12"/>
        <v>0</v>
      </c>
      <c r="E156" s="562">
        <f t="shared" si="13"/>
        <v>0</v>
      </c>
      <c r="F156" s="78"/>
      <c r="G156" s="78"/>
      <c r="H156" s="324"/>
      <c r="I156" s="324"/>
      <c r="J156" s="324"/>
      <c r="K156" s="324"/>
      <c r="L156" s="324"/>
      <c r="M156" s="233"/>
      <c r="N156" s="230"/>
      <c r="O156" s="324"/>
      <c r="P156" s="324"/>
      <c r="Q156" s="324"/>
      <c r="R156" s="324"/>
      <c r="S156" s="324"/>
      <c r="T156" s="324"/>
      <c r="U156" s="324"/>
      <c r="V156" s="324"/>
      <c r="W156" s="324"/>
      <c r="X156" s="324"/>
      <c r="Y156" s="324"/>
      <c r="Z156" s="324"/>
      <c r="AA156" s="324"/>
      <c r="AB156" s="324"/>
      <c r="AC156" s="324"/>
      <c r="AD156" s="324"/>
    </row>
    <row r="157" spans="1:30" s="7" customFormat="1">
      <c r="A157" s="1256" t="s">
        <v>243</v>
      </c>
      <c r="B157" s="1257"/>
      <c r="C157" s="80">
        <f t="shared" si="10"/>
        <v>0</v>
      </c>
      <c r="D157" s="80">
        <f t="shared" si="10"/>
        <v>0</v>
      </c>
      <c r="E157" s="562">
        <f t="shared" si="10"/>
        <v>0</v>
      </c>
      <c r="F157" s="78"/>
      <c r="G157" s="78"/>
      <c r="H157" s="324"/>
      <c r="I157" s="324"/>
      <c r="J157" s="324"/>
      <c r="K157" s="324"/>
      <c r="L157" s="324"/>
      <c r="M157" s="233"/>
      <c r="N157" s="230"/>
      <c r="O157" s="324"/>
      <c r="P157" s="324"/>
      <c r="Q157" s="324"/>
      <c r="R157" s="324"/>
      <c r="S157" s="324"/>
      <c r="T157" s="324"/>
      <c r="U157" s="324"/>
      <c r="V157" s="324"/>
      <c r="W157" s="324"/>
      <c r="X157" s="324"/>
      <c r="Y157" s="324"/>
      <c r="Z157" s="324"/>
      <c r="AA157" s="324"/>
      <c r="AB157" s="324"/>
      <c r="AC157" s="324"/>
      <c r="AD157" s="324"/>
    </row>
    <row r="158" spans="1:30" s="7" customFormat="1">
      <c r="A158" s="1256" t="s">
        <v>244</v>
      </c>
      <c r="B158" s="1257"/>
      <c r="C158" s="80">
        <f t="shared" si="10"/>
        <v>0</v>
      </c>
      <c r="D158" s="80">
        <f t="shared" si="10"/>
        <v>0</v>
      </c>
      <c r="E158" s="562">
        <f t="shared" si="10"/>
        <v>0</v>
      </c>
      <c r="F158" s="78"/>
      <c r="G158" s="78"/>
      <c r="H158" s="324"/>
      <c r="I158" s="324"/>
      <c r="J158" s="324"/>
      <c r="K158" s="324"/>
      <c r="L158" s="324"/>
      <c r="M158" s="233"/>
      <c r="N158" s="230"/>
      <c r="O158" s="324"/>
      <c r="P158" s="324"/>
      <c r="Q158" s="324"/>
      <c r="R158" s="324"/>
      <c r="S158" s="324"/>
      <c r="T158" s="324"/>
      <c r="U158" s="324"/>
      <c r="V158" s="324"/>
      <c r="W158" s="324"/>
      <c r="X158" s="324"/>
      <c r="Y158" s="324"/>
      <c r="Z158" s="324"/>
      <c r="AA158" s="324"/>
      <c r="AB158" s="324"/>
      <c r="AC158" s="324"/>
      <c r="AD158" s="324"/>
    </row>
    <row r="159" spans="1:30" s="7" customFormat="1">
      <c r="A159" s="1256" t="s">
        <v>318</v>
      </c>
      <c r="B159" s="1257"/>
      <c r="C159" s="80">
        <f t="shared" si="10"/>
        <v>0</v>
      </c>
      <c r="D159" s="80">
        <f t="shared" si="10"/>
        <v>0</v>
      </c>
      <c r="E159" s="562">
        <f t="shared" si="10"/>
        <v>0</v>
      </c>
      <c r="F159" s="78"/>
      <c r="G159" s="78"/>
      <c r="H159" s="324"/>
      <c r="I159" s="324"/>
      <c r="J159" s="324"/>
      <c r="K159" s="324"/>
      <c r="L159" s="324"/>
      <c r="M159" s="233"/>
      <c r="N159" s="230"/>
      <c r="O159" s="324"/>
      <c r="P159" s="324"/>
      <c r="Q159" s="324"/>
      <c r="R159" s="324"/>
      <c r="S159" s="324"/>
      <c r="T159" s="324"/>
      <c r="U159" s="324"/>
      <c r="V159" s="324"/>
      <c r="W159" s="324"/>
      <c r="X159" s="324"/>
      <c r="Y159" s="324"/>
      <c r="Z159" s="324"/>
      <c r="AA159" s="324"/>
      <c r="AB159" s="324"/>
      <c r="AC159" s="324"/>
      <c r="AD159" s="324"/>
    </row>
    <row r="160" spans="1:30" s="7" customFormat="1">
      <c r="A160" s="1256" t="s">
        <v>6</v>
      </c>
      <c r="B160" s="1257"/>
      <c r="C160" s="80">
        <f t="shared" ref="C160:E162" si="14">SUMIF($C$113:$C$144,$A160,E$113:E$144)</f>
        <v>0</v>
      </c>
      <c r="D160" s="80">
        <f>SUMIF($C$113:$C$144,$A160,F$113:F$144)</f>
        <v>0</v>
      </c>
      <c r="E160" s="562">
        <f>SUMIF($C$113:$C$144,$A160,G$113:G$144)</f>
        <v>0</v>
      </c>
      <c r="F160" s="78"/>
      <c r="G160" s="78"/>
      <c r="H160" s="324"/>
      <c r="I160" s="324"/>
      <c r="J160" s="324"/>
      <c r="K160" s="324"/>
      <c r="L160" s="324"/>
      <c r="M160" s="233"/>
      <c r="N160" s="230"/>
      <c r="O160" s="324"/>
      <c r="P160" s="324"/>
      <c r="Q160" s="324"/>
      <c r="R160" s="324"/>
      <c r="S160" s="324"/>
      <c r="T160" s="324"/>
      <c r="U160" s="324"/>
      <c r="V160" s="324"/>
      <c r="W160" s="324"/>
      <c r="X160" s="324"/>
      <c r="Y160" s="324"/>
      <c r="Z160" s="324"/>
      <c r="AA160" s="324"/>
      <c r="AB160" s="324"/>
      <c r="AC160" s="324"/>
      <c r="AD160" s="324"/>
    </row>
    <row r="161" spans="1:30" s="7" customFormat="1">
      <c r="A161" s="1256" t="s">
        <v>335</v>
      </c>
      <c r="B161" s="1257"/>
      <c r="C161" s="80">
        <f>SUMIF($C$113:$C$144,$A161,E$113:E$144)</f>
        <v>0</v>
      </c>
      <c r="D161" s="80">
        <f>SUMIF($C$113:$C$144,$A161,F$113:F$144)</f>
        <v>0</v>
      </c>
      <c r="E161" s="562">
        <f>SUMIF($C$113:$C$144,$A161,G$113:G$144)</f>
        <v>0</v>
      </c>
      <c r="F161" s="78"/>
      <c r="G161" s="78"/>
      <c r="H161" s="324"/>
      <c r="I161" s="324"/>
      <c r="J161" s="324"/>
      <c r="K161" s="324"/>
      <c r="L161" s="324"/>
      <c r="M161" s="233"/>
      <c r="N161" s="230"/>
      <c r="O161" s="324"/>
      <c r="P161" s="324"/>
      <c r="Q161" s="324"/>
      <c r="R161" s="324"/>
      <c r="S161" s="324"/>
      <c r="T161" s="324"/>
      <c r="U161" s="324"/>
      <c r="V161" s="324"/>
      <c r="W161" s="324"/>
      <c r="X161" s="324"/>
      <c r="Y161" s="324"/>
      <c r="Z161" s="324"/>
      <c r="AA161" s="324"/>
      <c r="AB161" s="324"/>
      <c r="AC161" s="324"/>
      <c r="AD161" s="324"/>
    </row>
    <row r="162" spans="1:30" s="7" customFormat="1" ht="13.5" thickBot="1">
      <c r="A162" s="1258" t="s">
        <v>620</v>
      </c>
      <c r="B162" s="1259"/>
      <c r="C162" s="84">
        <f t="shared" si="14"/>
        <v>0</v>
      </c>
      <c r="D162" s="84">
        <f t="shared" si="14"/>
        <v>0</v>
      </c>
      <c r="E162" s="563">
        <f t="shared" si="14"/>
        <v>0</v>
      </c>
      <c r="F162" s="78"/>
      <c r="G162" s="78"/>
      <c r="H162" s="324"/>
      <c r="I162" s="324"/>
      <c r="J162" s="324"/>
      <c r="K162" s="324"/>
      <c r="L162" s="233"/>
      <c r="M162" s="233"/>
      <c r="N162" s="230"/>
      <c r="O162" s="324"/>
      <c r="P162" s="324"/>
      <c r="Q162" s="324"/>
      <c r="R162" s="324"/>
      <c r="S162" s="324"/>
      <c r="T162" s="324"/>
      <c r="U162" s="324"/>
      <c r="V162" s="324"/>
      <c r="W162" s="324"/>
      <c r="X162" s="324"/>
      <c r="Y162" s="324"/>
      <c r="Z162" s="324"/>
      <c r="AA162" s="324"/>
      <c r="AB162" s="324"/>
      <c r="AC162" s="324"/>
      <c r="AD162" s="324"/>
    </row>
    <row r="163" spans="1:30" s="7" customFormat="1" ht="13.5" thickBot="1">
      <c r="A163" s="276"/>
      <c r="B163" s="78"/>
      <c r="C163" s="78"/>
      <c r="D163" s="78"/>
      <c r="E163" s="78"/>
      <c r="F163" s="78"/>
      <c r="G163" s="78"/>
      <c r="H163" s="324"/>
      <c r="I163" s="324"/>
      <c r="J163" s="324"/>
      <c r="K163" s="324"/>
      <c r="L163" s="233"/>
      <c r="M163" s="233"/>
      <c r="N163" s="230"/>
      <c r="O163" s="324"/>
      <c r="P163" s="324"/>
      <c r="Q163" s="324"/>
      <c r="R163" s="324"/>
      <c r="S163" s="324"/>
      <c r="T163" s="324"/>
      <c r="U163" s="324"/>
      <c r="V163" s="324"/>
      <c r="W163" s="324"/>
      <c r="X163" s="324"/>
      <c r="Y163" s="324"/>
      <c r="Z163" s="324"/>
      <c r="AA163" s="324"/>
      <c r="AB163" s="324"/>
      <c r="AC163" s="324"/>
      <c r="AD163" s="324"/>
    </row>
    <row r="164" spans="1:30" s="7" customFormat="1">
      <c r="A164" s="52"/>
      <c r="B164" s="60"/>
      <c r="C164" s="60"/>
      <c r="D164" s="592"/>
      <c r="E164" s="78"/>
      <c r="F164" s="78"/>
      <c r="G164" s="78"/>
      <c r="H164" s="324"/>
      <c r="I164" s="324"/>
      <c r="J164" s="324"/>
      <c r="K164" s="324"/>
      <c r="L164" s="233"/>
      <c r="M164" s="233"/>
      <c r="N164" s="230"/>
      <c r="O164" s="324"/>
      <c r="P164" s="324"/>
      <c r="Q164" s="324"/>
      <c r="R164" s="324"/>
      <c r="S164" s="324"/>
      <c r="T164" s="324"/>
      <c r="U164" s="324"/>
      <c r="V164" s="324"/>
      <c r="W164" s="324"/>
      <c r="X164" s="324"/>
      <c r="Y164" s="324"/>
      <c r="Z164" s="324"/>
      <c r="AA164" s="324"/>
      <c r="AB164" s="324"/>
      <c r="AC164" s="324"/>
      <c r="AD164" s="324"/>
    </row>
    <row r="165" spans="1:30" ht="15" thickBot="1">
      <c r="A165" s="54" t="s">
        <v>656</v>
      </c>
      <c r="B165" s="55"/>
      <c r="C165" s="55"/>
      <c r="D165" s="226">
        <f>(SUM(C151:C162)+SUM(D151:D162)/1000*CH4_GWP+SUM(E151:E162)/1000*N2O_GWP)/1000</f>
        <v>0</v>
      </c>
      <c r="E165" s="10"/>
      <c r="F165" s="10"/>
      <c r="G165" s="10"/>
      <c r="H165" s="230"/>
      <c r="I165" s="230"/>
      <c r="J165" s="230"/>
      <c r="K165" s="230"/>
      <c r="L165" s="233"/>
      <c r="M165" s="233"/>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3"/>
      <c r="M166" s="233"/>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3"/>
      <c r="M167" s="233"/>
      <c r="N167" s="230"/>
      <c r="O167" s="230"/>
      <c r="P167" s="230"/>
      <c r="Q167" s="230"/>
      <c r="R167" s="230"/>
      <c r="S167" s="230"/>
      <c r="T167" s="230"/>
      <c r="U167" s="230"/>
      <c r="V167" s="230"/>
      <c r="W167" s="230"/>
      <c r="X167" s="230"/>
      <c r="Y167" s="230"/>
      <c r="Z167" s="230"/>
      <c r="AA167" s="230"/>
      <c r="AB167" s="230"/>
      <c r="AC167" s="230"/>
      <c r="AD167" s="230"/>
    </row>
    <row r="168" spans="1:30">
      <c r="A168" s="257"/>
      <c r="B168" s="230"/>
      <c r="C168" s="230"/>
      <c r="D168" s="230"/>
      <c r="E168" s="230"/>
      <c r="F168" s="230"/>
      <c r="G168" s="230"/>
      <c r="H168" s="230"/>
      <c r="I168" s="230"/>
      <c r="J168" s="230"/>
      <c r="K168" s="230"/>
      <c r="L168" s="233"/>
      <c r="M168" s="233"/>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3"/>
      <c r="M169" s="233"/>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3"/>
      <c r="M170" s="233"/>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3"/>
      <c r="M171" s="233"/>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3"/>
      <c r="M172" s="233"/>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3"/>
      <c r="M173" s="233"/>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3"/>
      <c r="M174" s="233"/>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3"/>
      <c r="M175" s="233"/>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3"/>
      <c r="M176" s="233"/>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3"/>
      <c r="M177" s="233"/>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3"/>
      <c r="M178" s="233"/>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3"/>
      <c r="M179" s="233"/>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3"/>
      <c r="M180" s="233"/>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3"/>
      <c r="M181" s="233"/>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3"/>
      <c r="M182" s="233"/>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3"/>
      <c r="M183" s="233"/>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3"/>
      <c r="M184" s="233"/>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3"/>
      <c r="M185" s="233"/>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3"/>
      <c r="M186" s="233"/>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3"/>
      <c r="M187" s="233"/>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3"/>
      <c r="M188" s="233"/>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3"/>
      <c r="M189" s="233"/>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3"/>
      <c r="M190" s="233"/>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3"/>
      <c r="M191" s="233"/>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3"/>
      <c r="M192" s="233"/>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3"/>
      <c r="M193" s="233"/>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3"/>
      <c r="M194" s="233"/>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3"/>
      <c r="M195" s="233"/>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3"/>
      <c r="M196" s="233"/>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3"/>
      <c r="M197" s="233"/>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3"/>
      <c r="M198" s="233"/>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3"/>
      <c r="M199" s="233"/>
      <c r="N199" s="230"/>
      <c r="O199" s="230"/>
      <c r="P199" s="230"/>
      <c r="Q199" s="230"/>
      <c r="R199" s="230"/>
      <c r="S199" s="230"/>
      <c r="T199" s="230"/>
      <c r="U199" s="230"/>
      <c r="V199" s="230"/>
      <c r="W199" s="230"/>
      <c r="X199" s="230"/>
      <c r="Y199" s="230"/>
      <c r="Z199" s="230"/>
      <c r="AA199" s="230"/>
      <c r="AB199" s="230"/>
      <c r="AC199" s="230"/>
      <c r="AD199" s="230"/>
    </row>
    <row r="200" spans="1:30">
      <c r="A200" s="230"/>
      <c r="B200" s="230"/>
      <c r="C200" s="230"/>
      <c r="D200" s="230"/>
      <c r="E200" s="230"/>
      <c r="F200" s="230"/>
      <c r="G200" s="230"/>
      <c r="H200" s="230"/>
      <c r="I200" s="230"/>
      <c r="J200" s="230"/>
      <c r="K200" s="230"/>
      <c r="L200" s="233"/>
      <c r="M200" s="233"/>
      <c r="N200" s="230"/>
      <c r="O200" s="230"/>
      <c r="P200" s="230"/>
      <c r="Q200" s="230"/>
      <c r="R200" s="230"/>
      <c r="S200" s="230"/>
      <c r="T200" s="230"/>
      <c r="U200" s="230"/>
      <c r="V200" s="230"/>
      <c r="W200" s="230"/>
      <c r="X200" s="230"/>
      <c r="Y200" s="230"/>
      <c r="Z200" s="230"/>
      <c r="AA200" s="230"/>
      <c r="AB200" s="230"/>
      <c r="AC200" s="230"/>
      <c r="AD200" s="230"/>
    </row>
    <row r="201" spans="1:30">
      <c r="A201" s="230"/>
      <c r="B201" s="230"/>
      <c r="C201" s="230"/>
      <c r="D201" s="230"/>
      <c r="E201" s="230"/>
      <c r="F201" s="230"/>
      <c r="G201" s="230"/>
      <c r="H201" s="230"/>
      <c r="I201" s="230"/>
      <c r="J201" s="230"/>
      <c r="K201" s="230"/>
      <c r="L201" s="233"/>
      <c r="M201" s="233"/>
      <c r="N201" s="230"/>
      <c r="O201" s="230"/>
      <c r="P201" s="230"/>
      <c r="Q201" s="230"/>
      <c r="R201" s="230"/>
      <c r="S201" s="230"/>
      <c r="T201" s="230"/>
      <c r="U201" s="230"/>
      <c r="V201" s="230"/>
      <c r="W201" s="230"/>
      <c r="X201" s="230"/>
      <c r="Y201" s="230"/>
      <c r="Z201" s="230"/>
      <c r="AA201" s="230"/>
      <c r="AB201" s="230"/>
      <c r="AC201" s="230"/>
      <c r="AD201" s="230"/>
    </row>
    <row r="202" spans="1:30">
      <c r="A202" s="230"/>
      <c r="B202" s="230"/>
      <c r="C202" s="230"/>
      <c r="D202" s="230"/>
      <c r="E202" s="230"/>
      <c r="F202" s="230"/>
      <c r="G202" s="230"/>
      <c r="H202" s="230"/>
      <c r="I202" s="230"/>
      <c r="J202" s="230"/>
      <c r="K202" s="230"/>
      <c r="L202" s="233"/>
      <c r="M202" s="233"/>
      <c r="N202" s="230"/>
      <c r="O202" s="230"/>
      <c r="P202" s="230"/>
      <c r="Q202" s="230"/>
      <c r="R202" s="230"/>
      <c r="S202" s="230"/>
      <c r="T202" s="230"/>
      <c r="U202" s="230"/>
      <c r="V202" s="230"/>
      <c r="W202" s="230"/>
      <c r="X202" s="230"/>
      <c r="Y202" s="230"/>
      <c r="Z202" s="230"/>
      <c r="AA202" s="230"/>
      <c r="AB202" s="230"/>
      <c r="AC202" s="230"/>
      <c r="AD202" s="230"/>
    </row>
    <row r="203" spans="1:30">
      <c r="A203" s="230"/>
      <c r="B203" s="230"/>
      <c r="C203" s="230"/>
      <c r="D203" s="230"/>
      <c r="E203" s="230"/>
      <c r="F203" s="230"/>
      <c r="G203" s="230"/>
      <c r="H203" s="230"/>
      <c r="I203" s="230"/>
      <c r="J203" s="230"/>
      <c r="K203" s="230"/>
      <c r="L203" s="233"/>
      <c r="M203" s="233"/>
      <c r="N203" s="230"/>
      <c r="O203" s="230"/>
      <c r="P203" s="230"/>
      <c r="Q203" s="230"/>
      <c r="R203" s="230"/>
      <c r="S203" s="230"/>
      <c r="T203" s="230"/>
      <c r="U203" s="230"/>
      <c r="V203" s="230"/>
      <c r="W203" s="230"/>
      <c r="X203" s="230"/>
      <c r="Y203" s="230"/>
      <c r="Z203" s="230"/>
      <c r="AA203" s="230"/>
      <c r="AB203" s="230"/>
      <c r="AC203" s="230"/>
      <c r="AD203" s="230"/>
    </row>
  </sheetData>
  <sheetProtection sheet="1" objects="1" scenarios="1"/>
  <mergeCells count="13">
    <mergeCell ref="A157:B157"/>
    <mergeCell ref="A150:B150"/>
    <mergeCell ref="A151:B151"/>
    <mergeCell ref="A152:B152"/>
    <mergeCell ref="A153:B153"/>
    <mergeCell ref="A154:B154"/>
    <mergeCell ref="A155:B155"/>
    <mergeCell ref="A156:B156"/>
    <mergeCell ref="A161:B161"/>
    <mergeCell ref="A162:B162"/>
    <mergeCell ref="A158:B158"/>
    <mergeCell ref="A159:B159"/>
    <mergeCell ref="A160:B160"/>
  </mergeCells>
  <phoneticPr fontId="12" type="noConversion"/>
  <dataValidations count="3">
    <dataValidation type="list" allowBlank="1" showInputMessage="1" showErrorMessage="1" sqref="C59:C107" xr:uid="{00000000-0002-0000-0B00-000000000000}">
      <formula1>BizTravel_PassMiles</formula1>
    </dataValidation>
    <dataValidation type="list" allowBlank="1" showInputMessage="1" showErrorMessage="1" sqref="C16:C54" xr:uid="{00000000-0002-0000-0B00-000001000000}">
      <formula1>BizTravel_Vehicle</formula1>
    </dataValidation>
    <dataValidation type="list" allowBlank="1" showInputMessage="1" showErrorMessage="1" sqref="C112:C144" xr:uid="{00000000-0002-0000-0B00-000002000000}">
      <formula1>BizTravel_Air</formula1>
    </dataValidation>
  </dataValidations>
  <pageMargins left="0.25" right="0.25" top="0.25" bottom="0.5" header="0.5" footer="0.25"/>
  <pageSetup scale="81" orientation="portrait" r:id="rId1"/>
  <headerFooter alignWithMargins="0">
    <oddFooter>&amp;L&amp;"Arial,Italic"&amp;9EPA Climate Leaders Simplified GHG Emissions Calculator (Optional 1.0)&amp;R&amp;"Arial,Italic"&amp;9&amp;P of &amp;N</oddFooter>
  </headerFooter>
  <rowBreaks count="1" manualBreakCount="1">
    <brk id="55" max="16383" man="1"/>
  </rowBreaks>
  <colBreaks count="1" manualBreakCount="1">
    <brk id="8" max="1048575" man="1"/>
  </colBreaks>
  <drawing r:id="rId2"/>
  <legacyDrawing r:id="rId3"/>
  <controls>
    <mc:AlternateContent xmlns:mc="http://schemas.openxmlformats.org/markup-compatibility/2006">
      <mc:Choice Requires="x14">
        <control shapeId="19558" r:id="rId4" name="CommandButton1">
          <controlPr autoLine="0" r:id="rId5">
            <anchor>
              <from>
                <xdr:col>0</xdr:col>
                <xdr:colOff>714375</xdr:colOff>
                <xdr:row>0</xdr:row>
                <xdr:rowOff>142875</xdr:rowOff>
              </from>
              <to>
                <xdr:col>1</xdr:col>
                <xdr:colOff>752475</xdr:colOff>
                <xdr:row>1</xdr:row>
                <xdr:rowOff>142875</xdr:rowOff>
              </to>
            </anchor>
          </controlPr>
        </control>
      </mc:Choice>
      <mc:Fallback>
        <control shapeId="19558" r:id="rId4" name="CommandButton1"/>
      </mc:Fallback>
    </mc:AlternateContent>
    <mc:AlternateContent xmlns:mc="http://schemas.openxmlformats.org/markup-compatibility/2006">
      <mc:Choice Requires="x14">
        <control shapeId="19559" r:id="rId6" name="CommandButton2">
          <controlPr autoLine="0" r:id="rId7">
            <anchor>
              <from>
                <xdr:col>1</xdr:col>
                <xdr:colOff>952500</xdr:colOff>
                <xdr:row>0</xdr:row>
                <xdr:rowOff>133350</xdr:rowOff>
              </from>
              <to>
                <xdr:col>2</xdr:col>
                <xdr:colOff>647700</xdr:colOff>
                <xdr:row>1</xdr:row>
                <xdr:rowOff>133350</xdr:rowOff>
              </to>
            </anchor>
          </controlPr>
        </control>
      </mc:Choice>
      <mc:Fallback>
        <control shapeId="19559" r:id="rId6" name="CommandButton2"/>
      </mc:Fallback>
    </mc:AlternateContent>
    <mc:AlternateContent xmlns:mc="http://schemas.openxmlformats.org/markup-compatibility/2006">
      <mc:Choice Requires="x14">
        <control shapeId="19661" r:id="rId8" name="CommandButton3">
          <controlPr autoLine="0" r:id="rId9">
            <anchor>
              <from>
                <xdr:col>2</xdr:col>
                <xdr:colOff>2409825</xdr:colOff>
                <xdr:row>0</xdr:row>
                <xdr:rowOff>142875</xdr:rowOff>
              </from>
              <to>
                <xdr:col>4</xdr:col>
                <xdr:colOff>95250</xdr:colOff>
                <xdr:row>1</xdr:row>
                <xdr:rowOff>133350</xdr:rowOff>
              </to>
            </anchor>
          </controlPr>
        </control>
      </mc:Choice>
      <mc:Fallback>
        <control shapeId="19661" r:id="rId8" name="CommandButton3"/>
      </mc:Fallback>
    </mc:AlternateContent>
  </control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dimension ref="A1:AD197"/>
  <sheetViews>
    <sheetView zoomScaleNormal="100" workbookViewId="0">
      <pane ySplit="4" topLeftCell="A5" activePane="bottomLeft" state="frozen"/>
      <selection pane="bottomLeft" activeCell="B15" sqref="B15"/>
    </sheetView>
  </sheetViews>
  <sheetFormatPr defaultRowHeight="12.75"/>
  <cols>
    <col min="1" max="1" width="10.5703125" customWidth="1"/>
    <col min="2" max="2" width="18" customWidth="1"/>
    <col min="3" max="3" width="34.7109375" customWidth="1"/>
    <col min="4" max="4" width="10.7109375" customWidth="1"/>
    <col min="5" max="5" width="13" customWidth="1"/>
    <col min="6" max="6" width="12.5703125" customWidth="1"/>
    <col min="7" max="7" width="13.7109375" customWidth="1"/>
    <col min="8" max="11" width="9.28515625" customWidth="1"/>
    <col min="12" max="13" width="9.28515625" style="180"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1207</v>
      </c>
      <c r="B3" s="10"/>
      <c r="C3" s="10"/>
      <c r="D3" s="10"/>
      <c r="E3" s="10"/>
      <c r="F3" s="10"/>
      <c r="G3" s="10"/>
      <c r="H3" s="230"/>
      <c r="I3" s="230"/>
      <c r="J3" s="230"/>
      <c r="K3" s="230"/>
      <c r="L3" s="233"/>
      <c r="M3" s="233"/>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3"/>
      <c r="M4" s="233"/>
      <c r="N4" s="230"/>
      <c r="O4" s="230"/>
      <c r="P4" s="230"/>
      <c r="Q4" s="230"/>
      <c r="R4" s="230"/>
      <c r="S4" s="230"/>
      <c r="T4" s="230"/>
      <c r="U4" s="230"/>
      <c r="V4" s="230"/>
      <c r="W4" s="230"/>
      <c r="X4" s="230"/>
      <c r="Y4" s="230"/>
      <c r="Z4" s="230"/>
      <c r="AA4" s="230"/>
      <c r="AB4" s="230"/>
      <c r="AC4" s="230"/>
      <c r="AD4" s="230"/>
    </row>
    <row r="5" spans="1:30">
      <c r="A5" s="229" t="s">
        <v>346</v>
      </c>
      <c r="B5" s="230"/>
      <c r="C5" s="230"/>
      <c r="D5" s="230"/>
      <c r="E5" s="230"/>
      <c r="F5" s="230"/>
      <c r="G5" s="230"/>
      <c r="H5" s="230"/>
      <c r="I5" s="230"/>
      <c r="J5" s="230"/>
      <c r="K5" s="230"/>
      <c r="L5" s="230"/>
      <c r="M5" s="233"/>
      <c r="N5" s="233"/>
      <c r="O5" s="230"/>
      <c r="P5" s="230"/>
      <c r="Q5" s="230"/>
      <c r="R5" s="230"/>
      <c r="S5" s="230"/>
      <c r="T5" s="230"/>
      <c r="U5" s="230"/>
      <c r="V5" s="230"/>
      <c r="W5" s="230"/>
      <c r="X5" s="230"/>
      <c r="Y5" s="230"/>
      <c r="Z5" s="230"/>
      <c r="AA5" s="230"/>
      <c r="AB5" s="230"/>
      <c r="AC5" s="230"/>
      <c r="AD5" s="230"/>
    </row>
    <row r="6" spans="1:30">
      <c r="A6" s="309" t="s">
        <v>817</v>
      </c>
      <c r="B6" s="230"/>
      <c r="C6" s="230"/>
      <c r="D6" s="230"/>
      <c r="E6" s="230"/>
      <c r="F6" s="230"/>
      <c r="G6" s="230"/>
      <c r="H6" s="230"/>
      <c r="I6" s="230"/>
      <c r="J6" s="230"/>
      <c r="K6" s="230"/>
      <c r="L6" s="230"/>
      <c r="M6" s="233"/>
      <c r="N6" s="233"/>
      <c r="O6" s="230"/>
      <c r="P6" s="230"/>
      <c r="Q6" s="230"/>
      <c r="R6" s="230"/>
      <c r="S6" s="230"/>
      <c r="T6" s="230"/>
      <c r="U6" s="230"/>
      <c r="V6" s="230"/>
      <c r="W6" s="230"/>
      <c r="X6" s="230"/>
      <c r="Y6" s="230"/>
      <c r="Z6" s="230"/>
      <c r="AA6" s="230"/>
      <c r="AB6" s="230"/>
      <c r="AC6" s="230"/>
      <c r="AD6" s="230"/>
    </row>
    <row r="7" spans="1:30">
      <c r="A7" s="309" t="s">
        <v>697</v>
      </c>
      <c r="B7" s="10"/>
      <c r="C7" s="10"/>
      <c r="D7" s="10"/>
      <c r="E7" s="10"/>
      <c r="F7" s="10"/>
      <c r="G7" s="10"/>
      <c r="H7" s="230"/>
      <c r="I7" s="230"/>
      <c r="J7" s="230"/>
      <c r="K7" s="230"/>
      <c r="L7" s="233"/>
      <c r="M7" s="233"/>
      <c r="N7" s="230"/>
      <c r="O7" s="230"/>
      <c r="P7" s="230"/>
      <c r="Q7" s="230"/>
      <c r="R7" s="230"/>
      <c r="S7" s="230"/>
      <c r="T7" s="230"/>
      <c r="U7" s="230"/>
      <c r="V7" s="230"/>
      <c r="W7" s="230"/>
      <c r="X7" s="230"/>
      <c r="Y7" s="230"/>
      <c r="Z7" s="230"/>
      <c r="AA7" s="230"/>
      <c r="AB7" s="230"/>
      <c r="AC7" s="230"/>
      <c r="AD7" s="230"/>
    </row>
    <row r="8" spans="1:30">
      <c r="A8" s="309" t="s">
        <v>698</v>
      </c>
      <c r="B8" s="10"/>
      <c r="C8" s="10"/>
      <c r="D8" s="10"/>
      <c r="E8" s="10"/>
      <c r="F8" s="10"/>
      <c r="G8" s="10"/>
      <c r="H8" s="230"/>
      <c r="I8" s="230"/>
      <c r="J8" s="230"/>
      <c r="K8" s="230"/>
      <c r="L8" s="233"/>
      <c r="M8" s="233"/>
      <c r="N8" s="230"/>
      <c r="O8" s="230"/>
      <c r="P8" s="230"/>
      <c r="Q8" s="230"/>
      <c r="R8" s="230"/>
      <c r="S8" s="230"/>
      <c r="T8" s="230"/>
      <c r="U8" s="230"/>
      <c r="V8" s="230"/>
      <c r="W8" s="230"/>
      <c r="X8" s="230"/>
      <c r="Y8" s="230"/>
      <c r="Z8" s="230"/>
      <c r="AA8" s="230"/>
      <c r="AB8" s="230"/>
      <c r="AC8" s="230"/>
      <c r="AD8" s="230"/>
    </row>
    <row r="9" spans="1:30">
      <c r="A9" s="309"/>
      <c r="B9" s="10"/>
      <c r="C9" s="10"/>
      <c r="D9" s="10"/>
      <c r="E9" s="10"/>
      <c r="F9" s="10"/>
      <c r="G9" s="10"/>
      <c r="H9" s="230"/>
      <c r="I9" s="230"/>
      <c r="J9" s="230"/>
      <c r="K9" s="230"/>
      <c r="L9" s="233"/>
      <c r="M9" s="233"/>
      <c r="N9" s="230"/>
      <c r="O9" s="230"/>
      <c r="P9" s="230"/>
      <c r="Q9" s="230"/>
      <c r="R9" s="230"/>
      <c r="S9" s="230"/>
      <c r="T9" s="230"/>
      <c r="U9" s="230"/>
      <c r="V9" s="230"/>
      <c r="W9" s="230"/>
      <c r="X9" s="230"/>
      <c r="Y9" s="230"/>
      <c r="Z9" s="230"/>
      <c r="AA9" s="230"/>
      <c r="AB9" s="230"/>
      <c r="AC9" s="230"/>
      <c r="AD9" s="230"/>
    </row>
    <row r="10" spans="1:30">
      <c r="A10" s="328" t="s">
        <v>694</v>
      </c>
      <c r="B10" s="10"/>
      <c r="C10" s="10"/>
      <c r="D10" s="10"/>
      <c r="E10" s="10"/>
      <c r="F10" s="10"/>
      <c r="G10" s="10"/>
      <c r="H10" s="230"/>
      <c r="I10" s="230"/>
      <c r="J10" s="230"/>
      <c r="K10" s="230"/>
      <c r="L10" s="233"/>
      <c r="M10" s="233"/>
      <c r="N10" s="230"/>
      <c r="O10" s="230"/>
      <c r="P10" s="230"/>
      <c r="Q10" s="230"/>
      <c r="R10" s="230"/>
      <c r="S10" s="230"/>
      <c r="T10" s="230"/>
      <c r="U10" s="230"/>
      <c r="V10" s="230"/>
      <c r="W10" s="230"/>
      <c r="X10" s="230"/>
      <c r="Y10" s="230"/>
      <c r="Z10" s="230"/>
      <c r="AA10" s="230"/>
      <c r="AB10" s="230"/>
      <c r="AC10" s="230"/>
      <c r="AD10" s="230"/>
    </row>
    <row r="11" spans="1:30">
      <c r="A11" s="10"/>
      <c r="B11" s="10"/>
      <c r="C11" s="15"/>
      <c r="D11" s="10"/>
      <c r="E11" s="10"/>
      <c r="F11" s="10"/>
      <c r="G11" s="10"/>
      <c r="H11" s="230"/>
      <c r="I11" s="230"/>
      <c r="J11" s="230"/>
      <c r="K11" s="230"/>
      <c r="L11" s="233"/>
      <c r="M11" s="233"/>
      <c r="N11" s="230"/>
      <c r="O11" s="230"/>
      <c r="P11" s="230"/>
      <c r="Q11" s="230"/>
      <c r="R11" s="230"/>
      <c r="S11" s="230"/>
      <c r="T11" s="230"/>
      <c r="U11" s="230"/>
      <c r="V11" s="230"/>
      <c r="W11" s="230"/>
      <c r="X11" s="230"/>
      <c r="Y11" s="230"/>
      <c r="Z11" s="230"/>
      <c r="AA11" s="230"/>
      <c r="AB11" s="230"/>
      <c r="AC11" s="230"/>
      <c r="AD11" s="230"/>
    </row>
    <row r="12" spans="1:30" ht="15" thickBot="1">
      <c r="A12" s="13" t="s">
        <v>504</v>
      </c>
      <c r="B12" s="10"/>
      <c r="C12" s="10"/>
      <c r="D12" s="10"/>
      <c r="E12" s="10"/>
      <c r="F12" s="10"/>
      <c r="G12" s="10"/>
      <c r="H12" s="230"/>
      <c r="I12" s="230"/>
      <c r="J12" s="230"/>
      <c r="K12" s="230"/>
      <c r="L12" s="233"/>
      <c r="M12" s="233"/>
      <c r="N12" s="230"/>
      <c r="O12" s="230"/>
      <c r="P12" s="230"/>
      <c r="Q12" s="230"/>
      <c r="R12" s="230"/>
      <c r="S12" s="230"/>
      <c r="T12" s="230"/>
      <c r="U12" s="230"/>
      <c r="V12" s="230"/>
      <c r="W12" s="230"/>
      <c r="X12" s="230"/>
      <c r="Y12" s="230"/>
      <c r="Z12" s="230"/>
      <c r="AA12" s="230"/>
      <c r="AB12" s="230"/>
      <c r="AC12" s="230"/>
      <c r="AD12" s="230"/>
    </row>
    <row r="13" spans="1:30" ht="40.5" thickBot="1">
      <c r="A13" s="607" t="s">
        <v>337</v>
      </c>
      <c r="B13" s="608" t="s">
        <v>0</v>
      </c>
      <c r="C13" s="608" t="s">
        <v>145</v>
      </c>
      <c r="D13" s="274" t="s">
        <v>357</v>
      </c>
      <c r="E13" s="274" t="s">
        <v>338</v>
      </c>
      <c r="F13" s="274" t="s">
        <v>351</v>
      </c>
      <c r="G13" s="275" t="s">
        <v>355</v>
      </c>
      <c r="H13" s="230"/>
      <c r="I13" s="230"/>
      <c r="J13" s="230"/>
      <c r="K13" s="324"/>
      <c r="L13" s="476"/>
      <c r="M13" s="476"/>
      <c r="N13" s="324"/>
      <c r="O13" s="324"/>
      <c r="P13" s="324"/>
      <c r="Q13" s="324"/>
      <c r="R13" s="324"/>
      <c r="S13" s="324"/>
      <c r="T13" s="324"/>
      <c r="U13" s="230"/>
      <c r="V13" s="230"/>
      <c r="W13" s="230"/>
      <c r="X13" s="230"/>
      <c r="Y13" s="230"/>
      <c r="Z13" s="230"/>
      <c r="AA13" s="230"/>
      <c r="AB13" s="230"/>
      <c r="AC13" s="230"/>
      <c r="AD13" s="230"/>
    </row>
    <row r="14" spans="1:30" s="27" customFormat="1">
      <c r="A14" s="641" t="s">
        <v>8</v>
      </c>
      <c r="B14" s="642" t="s">
        <v>9</v>
      </c>
      <c r="C14" s="642" t="s">
        <v>3</v>
      </c>
      <c r="D14" s="643">
        <v>100</v>
      </c>
      <c r="E14" s="643">
        <f t="shared" ref="E14:E52" si="0">IF($C14="","",VLOOKUP($C14,Biz_Travel_Fctr,2,FALSE)*$D14)</f>
        <v>33.5</v>
      </c>
      <c r="F14" s="659">
        <f t="shared" ref="F14:F52" si="1">IF($C14="","",VLOOKUP($C14,Biz_Travel_Fctr,3,FALSE)*$D14)</f>
        <v>0.89999999999999991</v>
      </c>
      <c r="G14" s="660">
        <f t="shared" ref="G14:G52" si="2">IF($C14="","",VLOOKUP($C14,Biz_Travel_Fctr,4,FALSE)*$D14)</f>
        <v>0.8</v>
      </c>
      <c r="H14" s="324"/>
      <c r="I14" s="324"/>
      <c r="J14" s="324"/>
      <c r="K14" s="324"/>
      <c r="L14" s="477"/>
      <c r="M14" s="477"/>
      <c r="N14" s="324"/>
      <c r="O14" s="324"/>
      <c r="P14" s="324"/>
      <c r="Q14" s="324"/>
      <c r="R14" s="324"/>
      <c r="S14" s="324"/>
      <c r="T14" s="324"/>
      <c r="U14" s="324"/>
      <c r="V14" s="324"/>
      <c r="W14" s="324"/>
      <c r="X14" s="324"/>
      <c r="Y14" s="324"/>
      <c r="Z14" s="324"/>
      <c r="AA14" s="324"/>
      <c r="AB14" s="324"/>
      <c r="AC14" s="324"/>
      <c r="AD14" s="324"/>
    </row>
    <row r="15" spans="1:30" s="27" customFormat="1">
      <c r="A15" s="1116" t="s">
        <v>1400</v>
      </c>
      <c r="B15" s="240"/>
      <c r="C15" s="240"/>
      <c r="D15" s="242"/>
      <c r="E15" s="564" t="str">
        <f t="shared" si="0"/>
        <v/>
      </c>
      <c r="F15" s="235" t="str">
        <f t="shared" si="1"/>
        <v/>
      </c>
      <c r="G15" s="243" t="str">
        <f t="shared" si="2"/>
        <v/>
      </c>
      <c r="H15" s="324"/>
      <c r="I15" s="324"/>
      <c r="J15" s="324"/>
      <c r="K15" s="324"/>
      <c r="L15" s="478"/>
      <c r="M15" s="479"/>
      <c r="N15" s="324"/>
      <c r="O15" s="324"/>
      <c r="P15" s="324"/>
      <c r="Q15" s="324"/>
      <c r="R15" s="324"/>
      <c r="S15" s="324"/>
      <c r="T15" s="324"/>
      <c r="U15" s="324"/>
      <c r="V15" s="324"/>
      <c r="W15" s="324"/>
      <c r="X15" s="324"/>
      <c r="Y15" s="324"/>
      <c r="Z15" s="324"/>
      <c r="AA15" s="324"/>
      <c r="AB15" s="324"/>
      <c r="AC15" s="324"/>
      <c r="AD15" s="324"/>
    </row>
    <row r="16" spans="1:30" s="27" customFormat="1">
      <c r="A16" s="133"/>
      <c r="B16" s="37"/>
      <c r="C16" s="37"/>
      <c r="D16" s="109"/>
      <c r="E16" s="5" t="str">
        <f t="shared" si="0"/>
        <v/>
      </c>
      <c r="F16" s="127" t="str">
        <f t="shared" si="1"/>
        <v/>
      </c>
      <c r="G16" s="212" t="str">
        <f t="shared" si="2"/>
        <v/>
      </c>
      <c r="H16" s="324"/>
      <c r="I16" s="324"/>
      <c r="J16" s="324"/>
      <c r="K16" s="324"/>
      <c r="L16" s="478"/>
      <c r="M16" s="479"/>
      <c r="N16" s="324"/>
      <c r="O16" s="324"/>
      <c r="P16" s="324"/>
      <c r="Q16" s="324"/>
      <c r="R16" s="324"/>
      <c r="S16" s="324"/>
      <c r="T16" s="324"/>
      <c r="U16" s="324"/>
      <c r="V16" s="324"/>
      <c r="W16" s="324"/>
      <c r="X16" s="324"/>
      <c r="Y16" s="324"/>
      <c r="Z16" s="324"/>
      <c r="AA16" s="324"/>
      <c r="AB16" s="324"/>
      <c r="AC16" s="324"/>
      <c r="AD16" s="324"/>
    </row>
    <row r="17" spans="1:30" s="27" customFormat="1">
      <c r="A17" s="133"/>
      <c r="B17" s="37"/>
      <c r="C17" s="37"/>
      <c r="D17" s="109"/>
      <c r="E17" s="5" t="str">
        <f t="shared" si="0"/>
        <v/>
      </c>
      <c r="F17" s="127" t="str">
        <f t="shared" si="1"/>
        <v/>
      </c>
      <c r="G17" s="146" t="str">
        <f t="shared" si="2"/>
        <v/>
      </c>
      <c r="H17" s="324"/>
      <c r="I17" s="324"/>
      <c r="J17" s="324"/>
      <c r="K17" s="324"/>
      <c r="L17" s="478"/>
      <c r="M17" s="479"/>
      <c r="N17" s="324"/>
      <c r="O17" s="324"/>
      <c r="P17" s="324"/>
      <c r="Q17" s="324"/>
      <c r="R17" s="324"/>
      <c r="S17" s="324"/>
      <c r="T17" s="324"/>
      <c r="U17" s="324"/>
      <c r="V17" s="324"/>
      <c r="W17" s="324"/>
      <c r="X17" s="324"/>
      <c r="Y17" s="324"/>
      <c r="Z17" s="324"/>
      <c r="AA17" s="324"/>
      <c r="AB17" s="324"/>
      <c r="AC17" s="324"/>
      <c r="AD17" s="324"/>
    </row>
    <row r="18" spans="1:30" s="27" customFormat="1" hidden="1">
      <c r="A18" s="133"/>
      <c r="B18" s="37"/>
      <c r="C18" s="37"/>
      <c r="D18" s="109"/>
      <c r="E18" s="5" t="str">
        <f t="shared" si="0"/>
        <v/>
      </c>
      <c r="F18" s="127" t="str">
        <f t="shared" si="1"/>
        <v/>
      </c>
      <c r="G18" s="146" t="str">
        <f t="shared" si="2"/>
        <v/>
      </c>
      <c r="H18" s="324"/>
      <c r="I18" s="324"/>
      <c r="J18" s="324"/>
      <c r="K18" s="324"/>
      <c r="L18" s="478"/>
      <c r="M18" s="479"/>
      <c r="N18" s="324"/>
      <c r="O18" s="324"/>
      <c r="P18" s="324"/>
      <c r="Q18" s="324"/>
      <c r="R18" s="324"/>
      <c r="S18" s="324"/>
      <c r="T18" s="324"/>
      <c r="U18" s="324"/>
      <c r="V18" s="324"/>
      <c r="W18" s="324"/>
      <c r="X18" s="324"/>
      <c r="Y18" s="324"/>
      <c r="Z18" s="324"/>
      <c r="AA18" s="324"/>
      <c r="AB18" s="324"/>
      <c r="AC18" s="324"/>
      <c r="AD18" s="324"/>
    </row>
    <row r="19" spans="1:30" s="27" customFormat="1">
      <c r="A19" s="133"/>
      <c r="B19" s="37"/>
      <c r="C19" s="37"/>
      <c r="D19" s="109"/>
      <c r="E19" s="5" t="str">
        <f t="shared" si="0"/>
        <v/>
      </c>
      <c r="F19" s="127" t="str">
        <f t="shared" si="1"/>
        <v/>
      </c>
      <c r="G19" s="146" t="str">
        <f t="shared" si="2"/>
        <v/>
      </c>
      <c r="H19" s="324"/>
      <c r="I19" s="324"/>
      <c r="J19" s="324"/>
      <c r="K19" s="324"/>
      <c r="L19" s="478"/>
      <c r="M19" s="479"/>
      <c r="N19" s="324"/>
      <c r="O19" s="324"/>
      <c r="P19" s="324"/>
      <c r="Q19" s="324"/>
      <c r="R19" s="324"/>
      <c r="S19" s="324"/>
      <c r="T19" s="324"/>
      <c r="U19" s="324"/>
      <c r="V19" s="324"/>
      <c r="W19" s="324"/>
      <c r="X19" s="324"/>
      <c r="Y19" s="324"/>
      <c r="Z19" s="324"/>
      <c r="AA19" s="324"/>
      <c r="AB19" s="324"/>
      <c r="AC19" s="324"/>
      <c r="AD19" s="324"/>
    </row>
    <row r="20" spans="1:30" s="27" customFormat="1" hidden="1">
      <c r="A20" s="133"/>
      <c r="B20" s="37"/>
      <c r="C20" s="37"/>
      <c r="D20" s="109"/>
      <c r="E20" s="5" t="str">
        <f t="shared" si="0"/>
        <v/>
      </c>
      <c r="F20" s="127" t="str">
        <f t="shared" si="1"/>
        <v/>
      </c>
      <c r="G20" s="146" t="str">
        <f t="shared" si="2"/>
        <v/>
      </c>
      <c r="H20" s="324"/>
      <c r="I20" s="324"/>
      <c r="J20" s="324"/>
      <c r="K20" s="324"/>
      <c r="L20" s="479"/>
      <c r="M20" s="479"/>
      <c r="N20" s="324"/>
      <c r="O20" s="324"/>
      <c r="P20" s="324"/>
      <c r="Q20" s="324"/>
      <c r="R20" s="324"/>
      <c r="S20" s="324"/>
      <c r="T20" s="324"/>
      <c r="U20" s="324"/>
      <c r="V20" s="324"/>
      <c r="W20" s="324"/>
      <c r="X20" s="324"/>
      <c r="Y20" s="324"/>
      <c r="Z20" s="324"/>
      <c r="AA20" s="324"/>
      <c r="AB20" s="324"/>
      <c r="AC20" s="324"/>
      <c r="AD20" s="324"/>
    </row>
    <row r="21" spans="1:30" s="27" customFormat="1">
      <c r="A21" s="133"/>
      <c r="B21" s="37"/>
      <c r="C21" s="37"/>
      <c r="D21" s="109"/>
      <c r="E21" s="5" t="str">
        <f t="shared" si="0"/>
        <v/>
      </c>
      <c r="F21" s="127" t="str">
        <f t="shared" si="1"/>
        <v/>
      </c>
      <c r="G21" s="146" t="str">
        <f t="shared" si="2"/>
        <v/>
      </c>
      <c r="H21" s="324"/>
      <c r="I21" s="324"/>
      <c r="J21" s="324"/>
      <c r="K21" s="324"/>
      <c r="L21" s="479"/>
      <c r="M21" s="479"/>
      <c r="N21" s="324"/>
      <c r="O21" s="324"/>
      <c r="P21" s="324"/>
      <c r="Q21" s="324"/>
      <c r="R21" s="324"/>
      <c r="S21" s="324"/>
      <c r="T21" s="324"/>
      <c r="U21" s="324"/>
      <c r="V21" s="324"/>
      <c r="W21" s="324"/>
      <c r="X21" s="324"/>
      <c r="Y21" s="324"/>
      <c r="Z21" s="324"/>
      <c r="AA21" s="324"/>
      <c r="AB21" s="324"/>
      <c r="AC21" s="324"/>
      <c r="AD21" s="324"/>
    </row>
    <row r="22" spans="1:30" s="27" customFormat="1">
      <c r="A22" s="133"/>
      <c r="B22" s="37"/>
      <c r="C22" s="37"/>
      <c r="D22" s="109"/>
      <c r="E22" s="5" t="str">
        <f t="shared" si="0"/>
        <v/>
      </c>
      <c r="F22" s="127" t="str">
        <f t="shared" si="1"/>
        <v/>
      </c>
      <c r="G22" s="146" t="str">
        <f t="shared" si="2"/>
        <v/>
      </c>
      <c r="H22" s="324"/>
      <c r="I22" s="324"/>
      <c r="J22" s="324"/>
      <c r="K22" s="324"/>
      <c r="L22" s="479"/>
      <c r="M22" s="479"/>
      <c r="N22" s="324"/>
      <c r="O22" s="324"/>
      <c r="P22" s="324"/>
      <c r="Q22" s="324"/>
      <c r="R22" s="324"/>
      <c r="S22" s="324"/>
      <c r="T22" s="324"/>
      <c r="U22" s="324"/>
      <c r="V22" s="324"/>
      <c r="W22" s="324"/>
      <c r="X22" s="324"/>
      <c r="Y22" s="324"/>
      <c r="Z22" s="324"/>
      <c r="AA22" s="324"/>
      <c r="AB22" s="324"/>
      <c r="AC22" s="324"/>
      <c r="AD22" s="324"/>
    </row>
    <row r="23" spans="1:30" s="27" customFormat="1">
      <c r="A23" s="133"/>
      <c r="B23" s="37"/>
      <c r="C23" s="37"/>
      <c r="D23" s="109"/>
      <c r="E23" s="5" t="str">
        <f t="shared" si="0"/>
        <v/>
      </c>
      <c r="F23" s="127" t="str">
        <f t="shared" si="1"/>
        <v/>
      </c>
      <c r="G23" s="146" t="str">
        <f t="shared" si="2"/>
        <v/>
      </c>
      <c r="H23" s="324"/>
      <c r="I23" s="324"/>
      <c r="J23" s="324"/>
      <c r="K23" s="324"/>
      <c r="L23" s="479"/>
      <c r="M23" s="479"/>
      <c r="N23" s="324"/>
      <c r="O23" s="324"/>
      <c r="P23" s="324"/>
      <c r="Q23" s="324"/>
      <c r="R23" s="324"/>
      <c r="S23" s="324"/>
      <c r="T23" s="324"/>
      <c r="U23" s="324"/>
      <c r="V23" s="324"/>
      <c r="W23" s="324"/>
      <c r="X23" s="324"/>
      <c r="Y23" s="324"/>
      <c r="Z23" s="324"/>
      <c r="AA23" s="324"/>
      <c r="AB23" s="324"/>
      <c r="AC23" s="324"/>
      <c r="AD23" s="324"/>
    </row>
    <row r="24" spans="1:30" s="27" customFormat="1" hidden="1">
      <c r="A24" s="133"/>
      <c r="B24" s="37"/>
      <c r="C24" s="37"/>
      <c r="D24" s="109"/>
      <c r="E24" s="5" t="str">
        <f t="shared" si="0"/>
        <v/>
      </c>
      <c r="F24" s="127" t="str">
        <f t="shared" si="1"/>
        <v/>
      </c>
      <c r="G24" s="146" t="str">
        <f t="shared" si="2"/>
        <v/>
      </c>
      <c r="H24" s="324"/>
      <c r="I24" s="324"/>
      <c r="J24" s="324"/>
      <c r="K24" s="324"/>
      <c r="L24" s="479"/>
      <c r="M24" s="479"/>
      <c r="N24" s="324"/>
      <c r="O24" s="324"/>
      <c r="P24" s="324"/>
      <c r="Q24" s="324"/>
      <c r="R24" s="324"/>
      <c r="S24" s="324"/>
      <c r="T24" s="324"/>
      <c r="U24" s="324"/>
      <c r="V24" s="324"/>
      <c r="W24" s="324"/>
      <c r="X24" s="324"/>
      <c r="Y24" s="324"/>
      <c r="Z24" s="324"/>
      <c r="AA24" s="324"/>
      <c r="AB24" s="324"/>
      <c r="AC24" s="324"/>
      <c r="AD24" s="324"/>
    </row>
    <row r="25" spans="1:30" s="27" customFormat="1">
      <c r="A25" s="133"/>
      <c r="B25" s="37"/>
      <c r="C25" s="37"/>
      <c r="D25" s="109"/>
      <c r="E25" s="5" t="str">
        <f t="shared" si="0"/>
        <v/>
      </c>
      <c r="F25" s="127" t="str">
        <f t="shared" si="1"/>
        <v/>
      </c>
      <c r="G25" s="146" t="str">
        <f t="shared" si="2"/>
        <v/>
      </c>
      <c r="H25" s="324"/>
      <c r="I25" s="324"/>
      <c r="J25" s="324"/>
      <c r="K25" s="324"/>
      <c r="L25" s="479"/>
      <c r="M25" s="479"/>
      <c r="N25" s="324"/>
      <c r="O25" s="324"/>
      <c r="P25" s="324"/>
      <c r="Q25" s="324"/>
      <c r="R25" s="324"/>
      <c r="S25" s="324"/>
      <c r="T25" s="324"/>
      <c r="U25" s="324"/>
      <c r="V25" s="324"/>
      <c r="W25" s="324"/>
      <c r="X25" s="324"/>
      <c r="Y25" s="324"/>
      <c r="Z25" s="324"/>
      <c r="AA25" s="324"/>
      <c r="AB25" s="324"/>
      <c r="AC25" s="324"/>
      <c r="AD25" s="324"/>
    </row>
    <row r="26" spans="1:30" s="27" customFormat="1" hidden="1">
      <c r="A26" s="133"/>
      <c r="B26" s="37"/>
      <c r="C26" s="37"/>
      <c r="D26" s="109"/>
      <c r="E26" s="5" t="str">
        <f t="shared" si="0"/>
        <v/>
      </c>
      <c r="F26" s="127" t="str">
        <f t="shared" si="1"/>
        <v/>
      </c>
      <c r="G26" s="146" t="str">
        <f t="shared" si="2"/>
        <v/>
      </c>
      <c r="H26" s="324"/>
      <c r="I26" s="324"/>
      <c r="J26" s="324"/>
      <c r="K26" s="324"/>
      <c r="L26" s="479"/>
      <c r="M26" s="479"/>
      <c r="N26" s="324"/>
      <c r="O26" s="324"/>
      <c r="P26" s="324"/>
      <c r="Q26" s="324"/>
      <c r="R26" s="324"/>
      <c r="S26" s="324"/>
      <c r="T26" s="324"/>
      <c r="U26" s="324"/>
      <c r="V26" s="324"/>
      <c r="W26" s="324"/>
      <c r="X26" s="324"/>
      <c r="Y26" s="324"/>
      <c r="Z26" s="324"/>
      <c r="AA26" s="324"/>
      <c r="AB26" s="324"/>
      <c r="AC26" s="324"/>
      <c r="AD26" s="324"/>
    </row>
    <row r="27" spans="1:30" s="27" customFormat="1">
      <c r="A27" s="133"/>
      <c r="B27" s="37"/>
      <c r="C27" s="37"/>
      <c r="D27" s="109"/>
      <c r="E27" s="5" t="str">
        <f t="shared" si="0"/>
        <v/>
      </c>
      <c r="F27" s="127" t="str">
        <f t="shared" si="1"/>
        <v/>
      </c>
      <c r="G27" s="146" t="str">
        <f t="shared" si="2"/>
        <v/>
      </c>
      <c r="H27" s="324"/>
      <c r="I27" s="324"/>
      <c r="J27" s="324"/>
      <c r="K27" s="324"/>
      <c r="L27" s="479"/>
      <c r="M27" s="479"/>
      <c r="N27" s="324"/>
      <c r="O27" s="324"/>
      <c r="P27" s="324"/>
      <c r="Q27" s="324"/>
      <c r="R27" s="324"/>
      <c r="S27" s="324"/>
      <c r="T27" s="324"/>
      <c r="U27" s="324"/>
      <c r="V27" s="324"/>
      <c r="W27" s="324"/>
      <c r="X27" s="324"/>
      <c r="Y27" s="324"/>
      <c r="Z27" s="324"/>
      <c r="AA27" s="324"/>
      <c r="AB27" s="324"/>
      <c r="AC27" s="324"/>
      <c r="AD27" s="324"/>
    </row>
    <row r="28" spans="1:30" s="27" customFormat="1">
      <c r="A28" s="133"/>
      <c r="B28" s="37"/>
      <c r="C28" s="37"/>
      <c r="D28" s="109"/>
      <c r="E28" s="5" t="str">
        <f t="shared" si="0"/>
        <v/>
      </c>
      <c r="F28" s="127" t="str">
        <f t="shared" si="1"/>
        <v/>
      </c>
      <c r="G28" s="146" t="str">
        <f t="shared" si="2"/>
        <v/>
      </c>
      <c r="H28" s="324"/>
      <c r="I28" s="324"/>
      <c r="J28" s="324"/>
      <c r="K28" s="324"/>
      <c r="L28" s="479"/>
      <c r="M28" s="479"/>
      <c r="N28" s="324"/>
      <c r="O28" s="324"/>
      <c r="P28" s="324"/>
      <c r="Q28" s="324"/>
      <c r="R28" s="324"/>
      <c r="S28" s="324"/>
      <c r="T28" s="324"/>
      <c r="U28" s="324"/>
      <c r="V28" s="324"/>
      <c r="W28" s="324"/>
      <c r="X28" s="324"/>
      <c r="Y28" s="324"/>
      <c r="Z28" s="324"/>
      <c r="AA28" s="324"/>
      <c r="AB28" s="324"/>
      <c r="AC28" s="324"/>
      <c r="AD28" s="324"/>
    </row>
    <row r="29" spans="1:30" s="27" customFormat="1">
      <c r="A29" s="133"/>
      <c r="B29" s="37"/>
      <c r="C29" s="37"/>
      <c r="D29" s="109"/>
      <c r="E29" s="5" t="str">
        <f t="shared" si="0"/>
        <v/>
      </c>
      <c r="F29" s="127" t="str">
        <f t="shared" si="1"/>
        <v/>
      </c>
      <c r="G29" s="146" t="str">
        <f t="shared" si="2"/>
        <v/>
      </c>
      <c r="H29" s="324"/>
      <c r="I29" s="324"/>
      <c r="J29" s="324"/>
      <c r="K29" s="324"/>
      <c r="L29" s="479"/>
      <c r="M29" s="479"/>
      <c r="N29" s="324"/>
      <c r="O29" s="324"/>
      <c r="P29" s="324"/>
      <c r="Q29" s="324"/>
      <c r="R29" s="324"/>
      <c r="S29" s="324"/>
      <c r="T29" s="324"/>
      <c r="U29" s="324"/>
      <c r="V29" s="324"/>
      <c r="W29" s="324"/>
      <c r="X29" s="324"/>
      <c r="Y29" s="324"/>
      <c r="Z29" s="324"/>
      <c r="AA29" s="324"/>
      <c r="AB29" s="324"/>
      <c r="AC29" s="324"/>
      <c r="AD29" s="324"/>
    </row>
    <row r="30" spans="1:30" s="27" customFormat="1">
      <c r="A30" s="133"/>
      <c r="B30" s="37"/>
      <c r="C30" s="37"/>
      <c r="D30" s="109"/>
      <c r="E30" s="5" t="str">
        <f t="shared" si="0"/>
        <v/>
      </c>
      <c r="F30" s="127" t="str">
        <f t="shared" si="1"/>
        <v/>
      </c>
      <c r="G30" s="146" t="str">
        <f t="shared" si="2"/>
        <v/>
      </c>
      <c r="H30" s="324"/>
      <c r="I30" s="324"/>
      <c r="J30" s="324"/>
      <c r="K30" s="324"/>
      <c r="L30" s="479"/>
      <c r="M30" s="479"/>
      <c r="N30" s="324"/>
      <c r="O30" s="324"/>
      <c r="P30" s="324"/>
      <c r="Q30" s="324"/>
      <c r="R30" s="324"/>
      <c r="S30" s="324"/>
      <c r="T30" s="324"/>
      <c r="U30" s="324"/>
      <c r="V30" s="324"/>
      <c r="W30" s="324"/>
      <c r="X30" s="324"/>
      <c r="Y30" s="324"/>
      <c r="Z30" s="324"/>
      <c r="AA30" s="324"/>
      <c r="AB30" s="324"/>
      <c r="AC30" s="324"/>
      <c r="AD30" s="324"/>
    </row>
    <row r="31" spans="1:30" s="27" customFormat="1">
      <c r="A31" s="133"/>
      <c r="B31" s="37"/>
      <c r="C31" s="37"/>
      <c r="D31" s="109"/>
      <c r="E31" s="5" t="str">
        <f t="shared" si="0"/>
        <v/>
      </c>
      <c r="F31" s="127" t="str">
        <f t="shared" si="1"/>
        <v/>
      </c>
      <c r="G31" s="146" t="str">
        <f t="shared" si="2"/>
        <v/>
      </c>
      <c r="H31" s="324"/>
      <c r="I31" s="324"/>
      <c r="J31" s="324"/>
      <c r="K31" s="324"/>
      <c r="L31" s="479"/>
      <c r="M31" s="479"/>
      <c r="N31" s="324"/>
      <c r="O31" s="324"/>
      <c r="P31" s="324"/>
      <c r="Q31" s="324"/>
      <c r="R31" s="324"/>
      <c r="S31" s="324"/>
      <c r="T31" s="324"/>
      <c r="U31" s="324"/>
      <c r="V31" s="324"/>
      <c r="W31" s="324"/>
      <c r="X31" s="324"/>
      <c r="Y31" s="324"/>
      <c r="Z31" s="324"/>
      <c r="AA31" s="324"/>
      <c r="AB31" s="324"/>
      <c r="AC31" s="324"/>
      <c r="AD31" s="324"/>
    </row>
    <row r="32" spans="1:30" s="27" customFormat="1">
      <c r="A32" s="133"/>
      <c r="B32" s="37"/>
      <c r="C32" s="37"/>
      <c r="D32" s="109"/>
      <c r="E32" s="5" t="str">
        <f t="shared" si="0"/>
        <v/>
      </c>
      <c r="F32" s="127" t="str">
        <f t="shared" si="1"/>
        <v/>
      </c>
      <c r="G32" s="146" t="str">
        <f t="shared" si="2"/>
        <v/>
      </c>
      <c r="H32" s="324"/>
      <c r="I32" s="324"/>
      <c r="J32" s="324"/>
      <c r="K32" s="324"/>
      <c r="L32" s="479"/>
      <c r="M32" s="479"/>
      <c r="N32" s="324"/>
      <c r="O32" s="324"/>
      <c r="P32" s="324"/>
      <c r="Q32" s="324"/>
      <c r="R32" s="324"/>
      <c r="S32" s="324"/>
      <c r="T32" s="324"/>
      <c r="U32" s="324"/>
      <c r="V32" s="324"/>
      <c r="W32" s="324"/>
      <c r="X32" s="324"/>
      <c r="Y32" s="324"/>
      <c r="Z32" s="324"/>
      <c r="AA32" s="324"/>
      <c r="AB32" s="324"/>
      <c r="AC32" s="324"/>
      <c r="AD32" s="324"/>
    </row>
    <row r="33" spans="1:30" s="27" customFormat="1">
      <c r="A33" s="133"/>
      <c r="B33" s="37"/>
      <c r="C33" s="37"/>
      <c r="D33" s="109"/>
      <c r="E33" s="5" t="str">
        <f t="shared" si="0"/>
        <v/>
      </c>
      <c r="F33" s="127" t="str">
        <f t="shared" si="1"/>
        <v/>
      </c>
      <c r="G33" s="146" t="str">
        <f t="shared" si="2"/>
        <v/>
      </c>
      <c r="H33" s="324"/>
      <c r="I33" s="324"/>
      <c r="J33" s="324"/>
      <c r="K33" s="324"/>
      <c r="L33" s="479"/>
      <c r="M33" s="479"/>
      <c r="N33" s="324"/>
      <c r="O33" s="324"/>
      <c r="P33" s="324"/>
      <c r="Q33" s="324"/>
      <c r="R33" s="324"/>
      <c r="S33" s="324"/>
      <c r="T33" s="324"/>
      <c r="U33" s="324"/>
      <c r="V33" s="324"/>
      <c r="W33" s="324"/>
      <c r="X33" s="324"/>
      <c r="Y33" s="324"/>
      <c r="Z33" s="324"/>
      <c r="AA33" s="324"/>
      <c r="AB33" s="324"/>
      <c r="AC33" s="324"/>
      <c r="AD33" s="324"/>
    </row>
    <row r="34" spans="1:30" s="27" customFormat="1">
      <c r="A34" s="133"/>
      <c r="B34" s="37"/>
      <c r="C34" s="37"/>
      <c r="D34" s="109"/>
      <c r="E34" s="5" t="str">
        <f t="shared" si="0"/>
        <v/>
      </c>
      <c r="F34" s="127" t="str">
        <f t="shared" si="1"/>
        <v/>
      </c>
      <c r="G34" s="146" t="str">
        <f t="shared" si="2"/>
        <v/>
      </c>
      <c r="H34" s="324"/>
      <c r="I34" s="324"/>
      <c r="J34" s="324"/>
      <c r="K34" s="324"/>
      <c r="L34" s="479"/>
      <c r="M34" s="479"/>
      <c r="N34" s="324"/>
      <c r="O34" s="324"/>
      <c r="P34" s="324"/>
      <c r="Q34" s="324"/>
      <c r="R34" s="324"/>
      <c r="S34" s="324"/>
      <c r="T34" s="324"/>
      <c r="U34" s="324"/>
      <c r="V34" s="324"/>
      <c r="W34" s="324"/>
      <c r="X34" s="324"/>
      <c r="Y34" s="324"/>
      <c r="Z34" s="324"/>
      <c r="AA34" s="324"/>
      <c r="AB34" s="324"/>
      <c r="AC34" s="324"/>
      <c r="AD34" s="324"/>
    </row>
    <row r="35" spans="1:30" s="27" customFormat="1">
      <c r="A35" s="133"/>
      <c r="B35" s="37"/>
      <c r="C35" s="37"/>
      <c r="D35" s="109"/>
      <c r="E35" s="5" t="str">
        <f t="shared" si="0"/>
        <v/>
      </c>
      <c r="F35" s="127" t="str">
        <f t="shared" si="1"/>
        <v/>
      </c>
      <c r="G35" s="146" t="str">
        <f t="shared" si="2"/>
        <v/>
      </c>
      <c r="H35" s="324"/>
      <c r="I35" s="324"/>
      <c r="J35" s="324"/>
      <c r="K35" s="324"/>
      <c r="L35" s="479"/>
      <c r="M35" s="479"/>
      <c r="N35" s="324"/>
      <c r="O35" s="324"/>
      <c r="P35" s="324"/>
      <c r="Q35" s="324"/>
      <c r="R35" s="324"/>
      <c r="S35" s="324"/>
      <c r="T35" s="324"/>
      <c r="U35" s="324"/>
      <c r="V35" s="324"/>
      <c r="W35" s="324"/>
      <c r="X35" s="324"/>
      <c r="Y35" s="324"/>
      <c r="Z35" s="324"/>
      <c r="AA35" s="324"/>
      <c r="AB35" s="324"/>
      <c r="AC35" s="324"/>
      <c r="AD35" s="324"/>
    </row>
    <row r="36" spans="1:30" s="27" customFormat="1">
      <c r="A36" s="133"/>
      <c r="B36" s="37"/>
      <c r="C36" s="37"/>
      <c r="D36" s="109"/>
      <c r="E36" s="5" t="str">
        <f t="shared" si="0"/>
        <v/>
      </c>
      <c r="F36" s="127" t="str">
        <f t="shared" si="1"/>
        <v/>
      </c>
      <c r="G36" s="146" t="str">
        <f t="shared" si="2"/>
        <v/>
      </c>
      <c r="H36" s="324"/>
      <c r="I36" s="324"/>
      <c r="J36" s="324"/>
      <c r="K36" s="324"/>
      <c r="L36" s="479"/>
      <c r="M36" s="479"/>
      <c r="N36" s="324"/>
      <c r="O36" s="324"/>
      <c r="P36" s="324"/>
      <c r="Q36" s="324"/>
      <c r="R36" s="324"/>
      <c r="S36" s="324"/>
      <c r="T36" s="324"/>
      <c r="U36" s="324"/>
      <c r="V36" s="324"/>
      <c r="W36" s="324"/>
      <c r="X36" s="324"/>
      <c r="Y36" s="324"/>
      <c r="Z36" s="324"/>
      <c r="AA36" s="324"/>
      <c r="AB36" s="324"/>
      <c r="AC36" s="324"/>
      <c r="AD36" s="324"/>
    </row>
    <row r="37" spans="1:30" s="27" customFormat="1">
      <c r="A37" s="133"/>
      <c r="B37" s="37"/>
      <c r="C37" s="37"/>
      <c r="D37" s="109"/>
      <c r="E37" s="5" t="str">
        <f t="shared" si="0"/>
        <v/>
      </c>
      <c r="F37" s="127" t="str">
        <f t="shared" si="1"/>
        <v/>
      </c>
      <c r="G37" s="146" t="str">
        <f t="shared" si="2"/>
        <v/>
      </c>
      <c r="H37" s="324"/>
      <c r="I37" s="324"/>
      <c r="J37" s="324"/>
      <c r="K37" s="324"/>
      <c r="L37" s="479"/>
      <c r="M37" s="479"/>
      <c r="N37" s="324"/>
      <c r="O37" s="324"/>
      <c r="P37" s="324"/>
      <c r="Q37" s="324"/>
      <c r="R37" s="324"/>
      <c r="S37" s="324"/>
      <c r="T37" s="324"/>
      <c r="U37" s="324"/>
      <c r="V37" s="324"/>
      <c r="W37" s="324"/>
      <c r="X37" s="324"/>
      <c r="Y37" s="324"/>
      <c r="Z37" s="324"/>
      <c r="AA37" s="324"/>
      <c r="AB37" s="324"/>
      <c r="AC37" s="324"/>
      <c r="AD37" s="324"/>
    </row>
    <row r="38" spans="1:30" s="27" customFormat="1">
      <c r="A38" s="133"/>
      <c r="B38" s="37"/>
      <c r="C38" s="37"/>
      <c r="D38" s="109"/>
      <c r="E38" s="5" t="str">
        <f t="shared" si="0"/>
        <v/>
      </c>
      <c r="F38" s="127" t="str">
        <f t="shared" si="1"/>
        <v/>
      </c>
      <c r="G38" s="146" t="str">
        <f t="shared" si="2"/>
        <v/>
      </c>
      <c r="H38" s="324"/>
      <c r="I38" s="324"/>
      <c r="J38" s="324"/>
      <c r="K38" s="324"/>
      <c r="L38" s="479"/>
      <c r="M38" s="479"/>
      <c r="N38" s="324"/>
      <c r="O38" s="324"/>
      <c r="P38" s="324"/>
      <c r="Q38" s="324"/>
      <c r="R38" s="324"/>
      <c r="S38" s="324"/>
      <c r="T38" s="324"/>
      <c r="U38" s="324"/>
      <c r="V38" s="324"/>
      <c r="W38" s="324"/>
      <c r="X38" s="324"/>
      <c r="Y38" s="324"/>
      <c r="Z38" s="324"/>
      <c r="AA38" s="324"/>
      <c r="AB38" s="324"/>
      <c r="AC38" s="324"/>
      <c r="AD38" s="324"/>
    </row>
    <row r="39" spans="1:30" s="27" customFormat="1">
      <c r="A39" s="133"/>
      <c r="B39" s="37"/>
      <c r="C39" s="37"/>
      <c r="D39" s="109"/>
      <c r="E39" s="5" t="str">
        <f t="shared" si="0"/>
        <v/>
      </c>
      <c r="F39" s="127" t="str">
        <f t="shared" si="1"/>
        <v/>
      </c>
      <c r="G39" s="146" t="str">
        <f t="shared" si="2"/>
        <v/>
      </c>
      <c r="H39" s="324"/>
      <c r="I39" s="324"/>
      <c r="J39" s="324"/>
      <c r="K39" s="324"/>
      <c r="L39" s="479"/>
      <c r="M39" s="479"/>
      <c r="N39" s="324"/>
      <c r="O39" s="324"/>
      <c r="P39" s="324"/>
      <c r="Q39" s="324"/>
      <c r="R39" s="324"/>
      <c r="S39" s="324"/>
      <c r="T39" s="324"/>
      <c r="U39" s="324"/>
      <c r="V39" s="324"/>
      <c r="W39" s="324"/>
      <c r="X39" s="324"/>
      <c r="Y39" s="324"/>
      <c r="Z39" s="324"/>
      <c r="AA39" s="324"/>
      <c r="AB39" s="324"/>
      <c r="AC39" s="324"/>
      <c r="AD39" s="324"/>
    </row>
    <row r="40" spans="1:30" s="27" customFormat="1">
      <c r="A40" s="133"/>
      <c r="B40" s="37"/>
      <c r="C40" s="37"/>
      <c r="D40" s="109"/>
      <c r="E40" s="5" t="str">
        <f t="shared" si="0"/>
        <v/>
      </c>
      <c r="F40" s="127" t="str">
        <f t="shared" si="1"/>
        <v/>
      </c>
      <c r="G40" s="146" t="str">
        <f t="shared" si="2"/>
        <v/>
      </c>
      <c r="H40" s="324"/>
      <c r="I40" s="324"/>
      <c r="J40" s="324"/>
      <c r="K40" s="324"/>
      <c r="L40" s="479"/>
      <c r="M40" s="479"/>
      <c r="N40" s="324"/>
      <c r="O40" s="324"/>
      <c r="P40" s="324"/>
      <c r="Q40" s="324"/>
      <c r="R40" s="324"/>
      <c r="S40" s="324"/>
      <c r="T40" s="324"/>
      <c r="U40" s="324"/>
      <c r="V40" s="324"/>
      <c r="W40" s="324"/>
      <c r="X40" s="324"/>
      <c r="Y40" s="324"/>
      <c r="Z40" s="324"/>
      <c r="AA40" s="324"/>
      <c r="AB40" s="324"/>
      <c r="AC40" s="324"/>
      <c r="AD40" s="324"/>
    </row>
    <row r="41" spans="1:30" s="27" customFormat="1">
      <c r="A41" s="133"/>
      <c r="B41" s="37"/>
      <c r="C41" s="37"/>
      <c r="D41" s="109"/>
      <c r="E41" s="5" t="str">
        <f t="shared" si="0"/>
        <v/>
      </c>
      <c r="F41" s="127" t="str">
        <f t="shared" si="1"/>
        <v/>
      </c>
      <c r="G41" s="146" t="str">
        <f t="shared" si="2"/>
        <v/>
      </c>
      <c r="H41" s="324"/>
      <c r="I41" s="324"/>
      <c r="J41" s="324"/>
      <c r="K41" s="324"/>
      <c r="L41" s="479"/>
      <c r="M41" s="479"/>
      <c r="N41" s="324"/>
      <c r="O41" s="324"/>
      <c r="P41" s="324"/>
      <c r="Q41" s="324"/>
      <c r="R41" s="324"/>
      <c r="S41" s="324"/>
      <c r="T41" s="324"/>
      <c r="U41" s="324"/>
      <c r="V41" s="324"/>
      <c r="W41" s="324"/>
      <c r="X41" s="324"/>
      <c r="Y41" s="324"/>
      <c r="Z41" s="324"/>
      <c r="AA41" s="324"/>
      <c r="AB41" s="324"/>
      <c r="AC41" s="324"/>
      <c r="AD41" s="324"/>
    </row>
    <row r="42" spans="1:30" s="27" customFormat="1">
      <c r="A42" s="133"/>
      <c r="B42" s="37"/>
      <c r="C42" s="37"/>
      <c r="D42" s="109"/>
      <c r="E42" s="5" t="str">
        <f t="shared" si="0"/>
        <v/>
      </c>
      <c r="F42" s="127" t="str">
        <f t="shared" si="1"/>
        <v/>
      </c>
      <c r="G42" s="146" t="str">
        <f t="shared" si="2"/>
        <v/>
      </c>
      <c r="H42" s="324"/>
      <c r="I42" s="324"/>
      <c r="J42" s="324"/>
      <c r="K42" s="324"/>
      <c r="L42" s="479"/>
      <c r="M42" s="480"/>
      <c r="N42" s="324"/>
      <c r="O42" s="324"/>
      <c r="P42" s="324"/>
      <c r="Q42" s="324"/>
      <c r="R42" s="324"/>
      <c r="S42" s="324"/>
      <c r="T42" s="324"/>
      <c r="U42" s="324"/>
      <c r="V42" s="324"/>
      <c r="W42" s="324"/>
      <c r="X42" s="324"/>
      <c r="Y42" s="324"/>
      <c r="Z42" s="324"/>
      <c r="AA42" s="324"/>
      <c r="AB42" s="324"/>
      <c r="AC42" s="324"/>
      <c r="AD42" s="324"/>
    </row>
    <row r="43" spans="1:30" s="27" customFormat="1">
      <c r="A43" s="133"/>
      <c r="B43" s="37"/>
      <c r="C43" s="37"/>
      <c r="D43" s="109"/>
      <c r="E43" s="5" t="str">
        <f t="shared" si="0"/>
        <v/>
      </c>
      <c r="F43" s="127" t="str">
        <f t="shared" si="1"/>
        <v/>
      </c>
      <c r="G43" s="146" t="str">
        <f t="shared" si="2"/>
        <v/>
      </c>
      <c r="H43" s="324"/>
      <c r="I43" s="324"/>
      <c r="J43" s="324"/>
      <c r="K43" s="324"/>
      <c r="L43" s="479"/>
      <c r="M43" s="480"/>
      <c r="N43" s="324"/>
      <c r="O43" s="324"/>
      <c r="P43" s="324"/>
      <c r="Q43" s="324"/>
      <c r="R43" s="324"/>
      <c r="S43" s="324"/>
      <c r="T43" s="324"/>
      <c r="U43" s="324"/>
      <c r="V43" s="324"/>
      <c r="W43" s="324"/>
      <c r="X43" s="324"/>
      <c r="Y43" s="324"/>
      <c r="Z43" s="324"/>
      <c r="AA43" s="324"/>
      <c r="AB43" s="324"/>
      <c r="AC43" s="324"/>
      <c r="AD43" s="324"/>
    </row>
    <row r="44" spans="1:30" s="27" customFormat="1">
      <c r="A44" s="133"/>
      <c r="B44" s="37"/>
      <c r="C44" s="37"/>
      <c r="D44" s="109"/>
      <c r="E44" s="5" t="str">
        <f t="shared" si="0"/>
        <v/>
      </c>
      <c r="F44" s="127" t="str">
        <f t="shared" si="1"/>
        <v/>
      </c>
      <c r="G44" s="146" t="str">
        <f t="shared" si="2"/>
        <v/>
      </c>
      <c r="H44" s="324"/>
      <c r="I44" s="324"/>
      <c r="J44" s="324"/>
      <c r="K44" s="324"/>
      <c r="L44" s="479"/>
      <c r="M44" s="480"/>
      <c r="N44" s="324"/>
      <c r="O44" s="324"/>
      <c r="P44" s="324"/>
      <c r="Q44" s="324"/>
      <c r="R44" s="324"/>
      <c r="S44" s="324"/>
      <c r="T44" s="324"/>
      <c r="U44" s="324"/>
      <c r="V44" s="324"/>
      <c r="W44" s="324"/>
      <c r="X44" s="324"/>
      <c r="Y44" s="324"/>
      <c r="Z44" s="324"/>
      <c r="AA44" s="324"/>
      <c r="AB44" s="324"/>
      <c r="AC44" s="324"/>
      <c r="AD44" s="324"/>
    </row>
    <row r="45" spans="1:30" s="27" customFormat="1">
      <c r="A45" s="133"/>
      <c r="B45" s="37"/>
      <c r="C45" s="37"/>
      <c r="D45" s="109"/>
      <c r="E45" s="5" t="str">
        <f t="shared" si="0"/>
        <v/>
      </c>
      <c r="F45" s="127" t="str">
        <f t="shared" si="1"/>
        <v/>
      </c>
      <c r="G45" s="146" t="str">
        <f t="shared" si="2"/>
        <v/>
      </c>
      <c r="H45" s="324"/>
      <c r="I45" s="324"/>
      <c r="J45" s="324"/>
      <c r="K45" s="324"/>
      <c r="L45" s="479"/>
      <c r="M45" s="480"/>
      <c r="N45" s="324"/>
      <c r="O45" s="324"/>
      <c r="P45" s="324"/>
      <c r="Q45" s="324"/>
      <c r="R45" s="324"/>
      <c r="S45" s="324"/>
      <c r="T45" s="324"/>
      <c r="U45" s="324"/>
      <c r="V45" s="324"/>
      <c r="W45" s="324"/>
      <c r="X45" s="324"/>
      <c r="Y45" s="324"/>
      <c r="Z45" s="324"/>
      <c r="AA45" s="324"/>
      <c r="AB45" s="324"/>
      <c r="AC45" s="324"/>
      <c r="AD45" s="324"/>
    </row>
    <row r="46" spans="1:30" s="27" customFormat="1">
      <c r="A46" s="133"/>
      <c r="B46" s="37"/>
      <c r="C46" s="37"/>
      <c r="D46" s="109"/>
      <c r="E46" s="5" t="str">
        <f t="shared" si="0"/>
        <v/>
      </c>
      <c r="F46" s="127" t="str">
        <f t="shared" si="1"/>
        <v/>
      </c>
      <c r="G46" s="146" t="str">
        <f t="shared" si="2"/>
        <v/>
      </c>
      <c r="H46" s="324"/>
      <c r="I46" s="324"/>
      <c r="J46" s="324"/>
      <c r="K46" s="324"/>
      <c r="L46" s="476"/>
      <c r="M46" s="476"/>
      <c r="N46" s="324"/>
      <c r="O46" s="324"/>
      <c r="P46" s="324"/>
      <c r="Q46" s="324"/>
      <c r="R46" s="324"/>
      <c r="S46" s="324"/>
      <c r="T46" s="324"/>
      <c r="U46" s="324"/>
      <c r="V46" s="324"/>
      <c r="W46" s="324"/>
      <c r="X46" s="324"/>
      <c r="Y46" s="324"/>
      <c r="Z46" s="324"/>
      <c r="AA46" s="324"/>
      <c r="AB46" s="324"/>
      <c r="AC46" s="324"/>
      <c r="AD46" s="324"/>
    </row>
    <row r="47" spans="1:30" s="27" customFormat="1">
      <c r="A47" s="133"/>
      <c r="B47" s="37"/>
      <c r="C47" s="37"/>
      <c r="D47" s="109"/>
      <c r="E47" s="5" t="str">
        <f t="shared" si="0"/>
        <v/>
      </c>
      <c r="F47" s="127" t="str">
        <f t="shared" si="1"/>
        <v/>
      </c>
      <c r="G47" s="146" t="str">
        <f t="shared" si="2"/>
        <v/>
      </c>
      <c r="H47" s="324"/>
      <c r="I47" s="324"/>
      <c r="J47" s="324"/>
      <c r="K47" s="324"/>
      <c r="L47" s="476"/>
      <c r="M47" s="476"/>
      <c r="N47" s="324"/>
      <c r="O47" s="324"/>
      <c r="P47" s="324"/>
      <c r="Q47" s="324"/>
      <c r="R47" s="324"/>
      <c r="S47" s="324"/>
      <c r="T47" s="324"/>
      <c r="U47" s="324"/>
      <c r="V47" s="324"/>
      <c r="W47" s="324"/>
      <c r="X47" s="324"/>
      <c r="Y47" s="324"/>
      <c r="Z47" s="324"/>
      <c r="AA47" s="324"/>
      <c r="AB47" s="324"/>
      <c r="AC47" s="324"/>
      <c r="AD47" s="324"/>
    </row>
    <row r="48" spans="1:30" s="27" customFormat="1">
      <c r="A48" s="133"/>
      <c r="B48" s="37"/>
      <c r="C48" s="37"/>
      <c r="D48" s="109"/>
      <c r="E48" s="5" t="str">
        <f t="shared" si="0"/>
        <v/>
      </c>
      <c r="F48" s="127" t="str">
        <f t="shared" si="1"/>
        <v/>
      </c>
      <c r="G48" s="146" t="str">
        <f t="shared" si="2"/>
        <v/>
      </c>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row>
    <row r="49" spans="1:30" s="27" customFormat="1">
      <c r="A49" s="133"/>
      <c r="B49" s="37"/>
      <c r="C49" s="37"/>
      <c r="D49" s="109"/>
      <c r="E49" s="5" t="str">
        <f t="shared" si="0"/>
        <v/>
      </c>
      <c r="F49" s="127" t="str">
        <f t="shared" si="1"/>
        <v/>
      </c>
      <c r="G49" s="146" t="str">
        <f t="shared" si="2"/>
        <v/>
      </c>
      <c r="H49" s="324"/>
      <c r="I49" s="324"/>
      <c r="J49" s="324"/>
      <c r="K49" s="324"/>
      <c r="L49" s="476"/>
      <c r="M49" s="476"/>
      <c r="N49" s="324"/>
      <c r="O49" s="324"/>
      <c r="P49" s="324"/>
      <c r="Q49" s="324"/>
      <c r="R49" s="324"/>
      <c r="S49" s="324"/>
      <c r="T49" s="324"/>
      <c r="U49" s="324"/>
      <c r="V49" s="324"/>
      <c r="W49" s="324"/>
      <c r="X49" s="324"/>
      <c r="Y49" s="324"/>
      <c r="Z49" s="324"/>
      <c r="AA49" s="324"/>
      <c r="AB49" s="324"/>
      <c r="AC49" s="324"/>
      <c r="AD49" s="324"/>
    </row>
    <row r="50" spans="1:30" s="27" customFormat="1">
      <c r="A50" s="133"/>
      <c r="B50" s="37"/>
      <c r="C50" s="37"/>
      <c r="D50" s="109"/>
      <c r="E50" s="5" t="str">
        <f t="shared" si="0"/>
        <v/>
      </c>
      <c r="F50" s="127" t="str">
        <f t="shared" si="1"/>
        <v/>
      </c>
      <c r="G50" s="146" t="str">
        <f t="shared" si="2"/>
        <v/>
      </c>
      <c r="H50" s="324"/>
      <c r="I50" s="324"/>
      <c r="J50" s="324"/>
      <c r="K50" s="324"/>
      <c r="L50" s="476"/>
      <c r="M50" s="476"/>
      <c r="N50" s="324"/>
      <c r="O50" s="324"/>
      <c r="P50" s="324"/>
      <c r="Q50" s="324"/>
      <c r="R50" s="324"/>
      <c r="S50" s="324"/>
      <c r="T50" s="324"/>
      <c r="U50" s="324"/>
      <c r="V50" s="324"/>
      <c r="W50" s="324"/>
      <c r="X50" s="324"/>
      <c r="Y50" s="324"/>
      <c r="Z50" s="324"/>
      <c r="AA50" s="324"/>
      <c r="AB50" s="324"/>
      <c r="AC50" s="324"/>
      <c r="AD50" s="324"/>
    </row>
    <row r="51" spans="1:30">
      <c r="A51" s="133"/>
      <c r="B51" s="37"/>
      <c r="C51" s="37"/>
      <c r="D51" s="109"/>
      <c r="E51" s="5" t="str">
        <f t="shared" si="0"/>
        <v/>
      </c>
      <c r="F51" s="127" t="str">
        <f t="shared" si="1"/>
        <v/>
      </c>
      <c r="G51" s="146" t="str">
        <f t="shared" si="2"/>
        <v/>
      </c>
      <c r="H51" s="230"/>
      <c r="I51" s="230"/>
      <c r="J51" s="230"/>
      <c r="K51" s="324"/>
      <c r="L51" s="476"/>
      <c r="M51" s="476"/>
      <c r="N51" s="324"/>
      <c r="O51" s="324"/>
      <c r="P51" s="324"/>
      <c r="Q51" s="324"/>
      <c r="R51" s="324"/>
      <c r="S51" s="324"/>
      <c r="T51" s="324"/>
      <c r="U51" s="230"/>
      <c r="V51" s="230"/>
      <c r="W51" s="230"/>
      <c r="X51" s="230"/>
      <c r="Y51" s="230"/>
      <c r="Z51" s="230"/>
      <c r="AA51" s="230"/>
      <c r="AB51" s="230"/>
      <c r="AC51" s="230"/>
      <c r="AD51" s="230"/>
    </row>
    <row r="52" spans="1:30" ht="13.5" thickBot="1">
      <c r="A52" s="134"/>
      <c r="B52" s="135"/>
      <c r="C52" s="135"/>
      <c r="D52" s="184"/>
      <c r="E52" s="114" t="str">
        <f t="shared" si="0"/>
        <v/>
      </c>
      <c r="F52" s="280" t="str">
        <f t="shared" si="1"/>
        <v/>
      </c>
      <c r="G52" s="147" t="str">
        <f t="shared" si="2"/>
        <v/>
      </c>
      <c r="H52" s="230"/>
      <c r="I52" s="230"/>
      <c r="J52" s="230"/>
      <c r="K52" s="324"/>
      <c r="L52" s="476"/>
      <c r="M52" s="476"/>
      <c r="N52" s="324"/>
      <c r="O52" s="324"/>
      <c r="P52" s="324"/>
      <c r="Q52" s="324"/>
      <c r="R52" s="324"/>
      <c r="S52" s="324"/>
      <c r="T52" s="324"/>
      <c r="U52" s="230"/>
      <c r="V52" s="230"/>
      <c r="W52" s="230"/>
      <c r="X52" s="230"/>
      <c r="Y52" s="230"/>
      <c r="Z52" s="230"/>
      <c r="AA52" s="230"/>
      <c r="AB52" s="230"/>
      <c r="AC52" s="230"/>
      <c r="AD52" s="230"/>
    </row>
    <row r="53" spans="1:30" ht="13.5" thickBot="1">
      <c r="A53" s="167" t="s">
        <v>469</v>
      </c>
      <c r="B53" s="58"/>
      <c r="C53" s="58"/>
      <c r="D53" s="187"/>
      <c r="E53" s="59">
        <f>SUM(E15:E52)</f>
        <v>0</v>
      </c>
      <c r="F53" s="149">
        <f>SUM(F15:F52)</f>
        <v>0</v>
      </c>
      <c r="G53" s="144">
        <f>SUM(G15:G52)</f>
        <v>0</v>
      </c>
      <c r="H53" s="230"/>
      <c r="I53" s="230"/>
      <c r="J53" s="230"/>
      <c r="K53" s="230"/>
      <c r="L53" s="476"/>
      <c r="M53" s="476"/>
      <c r="N53" s="324"/>
      <c r="O53" s="230"/>
      <c r="P53" s="230"/>
      <c r="Q53" s="230"/>
      <c r="R53" s="230"/>
      <c r="S53" s="230"/>
      <c r="T53" s="230"/>
      <c r="U53" s="230"/>
      <c r="V53" s="230"/>
      <c r="W53" s="230"/>
      <c r="X53" s="230"/>
      <c r="Y53" s="230"/>
      <c r="Z53" s="230"/>
      <c r="AA53" s="230"/>
      <c r="AB53" s="230"/>
      <c r="AC53" s="230"/>
      <c r="AD53" s="230"/>
    </row>
    <row r="54" spans="1:30">
      <c r="A54" s="10"/>
      <c r="B54" s="10"/>
      <c r="C54" s="10"/>
      <c r="D54" s="10"/>
      <c r="E54" s="10"/>
      <c r="F54" s="10"/>
      <c r="G54" s="10"/>
      <c r="H54" s="230"/>
      <c r="I54" s="230"/>
      <c r="J54" s="230"/>
      <c r="K54" s="230"/>
      <c r="L54" s="476"/>
      <c r="M54" s="476"/>
      <c r="N54" s="324"/>
      <c r="O54" s="230"/>
      <c r="P54" s="230"/>
      <c r="Q54" s="230"/>
      <c r="R54" s="230"/>
      <c r="S54" s="230"/>
      <c r="T54" s="230"/>
      <c r="U54" s="230"/>
      <c r="V54" s="230"/>
      <c r="W54" s="230"/>
      <c r="X54" s="230"/>
      <c r="Y54" s="230"/>
      <c r="Z54" s="230"/>
      <c r="AA54" s="230"/>
      <c r="AB54" s="230"/>
      <c r="AC54" s="230"/>
      <c r="AD54" s="230"/>
    </row>
    <row r="55" spans="1:30" s="7" customFormat="1" ht="15" thickBot="1">
      <c r="A55" s="13" t="s">
        <v>503</v>
      </c>
      <c r="B55" s="78"/>
      <c r="C55" s="78"/>
      <c r="D55" s="10"/>
      <c r="E55" s="10"/>
      <c r="F55" s="78"/>
      <c r="G55" s="78"/>
      <c r="H55" s="324"/>
      <c r="I55" s="324"/>
      <c r="J55" s="324"/>
      <c r="K55" s="324"/>
      <c r="L55" s="233"/>
      <c r="M55" s="233"/>
      <c r="N55" s="324"/>
      <c r="O55" s="324"/>
      <c r="P55" s="324"/>
      <c r="Q55" s="324"/>
      <c r="R55" s="324"/>
      <c r="S55" s="324"/>
      <c r="T55" s="324"/>
      <c r="U55" s="324"/>
      <c r="V55" s="324"/>
      <c r="W55" s="324"/>
      <c r="X55" s="324"/>
      <c r="Y55" s="324"/>
      <c r="Z55" s="324"/>
      <c r="AA55" s="324"/>
      <c r="AB55" s="324"/>
      <c r="AC55" s="324"/>
      <c r="AD55" s="324"/>
    </row>
    <row r="56" spans="1:30" s="7" customFormat="1" ht="40.5" thickBot="1">
      <c r="A56" s="607" t="s">
        <v>337</v>
      </c>
      <c r="B56" s="610" t="s">
        <v>0</v>
      </c>
      <c r="C56" s="608" t="s">
        <v>693</v>
      </c>
      <c r="D56" s="274" t="s">
        <v>352</v>
      </c>
      <c r="E56" s="274" t="s">
        <v>338</v>
      </c>
      <c r="F56" s="274" t="s">
        <v>353</v>
      </c>
      <c r="G56" s="275" t="s">
        <v>354</v>
      </c>
      <c r="H56" s="324"/>
      <c r="I56" s="324"/>
      <c r="J56" s="324"/>
      <c r="K56" s="324"/>
      <c r="L56" s="233"/>
      <c r="M56" s="233"/>
      <c r="N56" s="230"/>
      <c r="O56" s="324"/>
      <c r="P56" s="324"/>
      <c r="Q56" s="324"/>
      <c r="R56" s="324"/>
      <c r="S56" s="324"/>
      <c r="T56" s="324"/>
      <c r="U56" s="324"/>
      <c r="V56" s="324"/>
      <c r="W56" s="324"/>
      <c r="X56" s="324"/>
      <c r="Y56" s="324"/>
      <c r="Z56" s="324"/>
      <c r="AA56" s="324"/>
      <c r="AB56" s="324"/>
      <c r="AC56" s="324"/>
      <c r="AD56" s="324"/>
    </row>
    <row r="57" spans="1:30" s="7" customFormat="1">
      <c r="A57" s="641" t="s">
        <v>8</v>
      </c>
      <c r="B57" s="642" t="s">
        <v>9</v>
      </c>
      <c r="C57" s="642" t="s">
        <v>242</v>
      </c>
      <c r="D57" s="643">
        <v>100</v>
      </c>
      <c r="E57" s="643">
        <v>18.5</v>
      </c>
      <c r="F57" s="659">
        <v>0.2</v>
      </c>
      <c r="G57" s="660">
        <v>0.1</v>
      </c>
      <c r="H57" s="324"/>
      <c r="I57" s="324"/>
      <c r="J57" s="324"/>
      <c r="K57" s="324"/>
      <c r="L57" s="233"/>
      <c r="M57" s="233"/>
      <c r="N57" s="230"/>
      <c r="O57" s="324"/>
      <c r="P57" s="324"/>
      <c r="Q57" s="324"/>
      <c r="R57" s="324"/>
      <c r="S57" s="324"/>
      <c r="T57" s="324"/>
      <c r="U57" s="324"/>
      <c r="V57" s="324"/>
      <c r="W57" s="324"/>
      <c r="X57" s="324"/>
      <c r="Y57" s="324"/>
      <c r="Z57" s="324"/>
      <c r="AA57" s="324"/>
      <c r="AB57" s="324"/>
      <c r="AC57" s="324"/>
      <c r="AD57" s="324"/>
    </row>
    <row r="58" spans="1:30" s="7" customFormat="1">
      <c r="A58" s="239"/>
      <c r="B58" s="241"/>
      <c r="C58" s="241"/>
      <c r="D58" s="242"/>
      <c r="E58" s="564" t="str">
        <f t="shared" ref="E58:E105" si="3">IF($C58="","",VLOOKUP($C58,Biz_Travel_Fctr,2,FALSE)*$D58)</f>
        <v/>
      </c>
      <c r="F58" s="235" t="str">
        <f t="shared" ref="F58:F105" si="4">IF($C58="","",VLOOKUP($C58,Biz_Travel_Fctr,3,FALSE)*$D58)</f>
        <v/>
      </c>
      <c r="G58" s="243" t="str">
        <f t="shared" ref="G58:G105" si="5">IF($C58="","",VLOOKUP($C58,Biz_Travel_Fctr,4,FALSE)*$D58)</f>
        <v/>
      </c>
      <c r="H58" s="324"/>
      <c r="I58" s="324"/>
      <c r="J58" s="324"/>
      <c r="K58" s="324"/>
      <c r="L58" s="233"/>
      <c r="M58" s="233"/>
      <c r="N58" s="230"/>
      <c r="O58" s="324"/>
      <c r="P58" s="324"/>
      <c r="Q58" s="324"/>
      <c r="R58" s="324"/>
      <c r="S58" s="324"/>
      <c r="T58" s="324"/>
      <c r="U58" s="324"/>
      <c r="V58" s="324"/>
      <c r="W58" s="324"/>
      <c r="X58" s="324"/>
      <c r="Y58" s="324"/>
      <c r="Z58" s="324"/>
      <c r="AA58" s="324"/>
      <c r="AB58" s="324"/>
      <c r="AC58" s="324"/>
      <c r="AD58" s="324"/>
    </row>
    <row r="59" spans="1:30" s="7" customFormat="1">
      <c r="A59" s="133"/>
      <c r="B59" s="188"/>
      <c r="C59" s="188"/>
      <c r="D59" s="139"/>
      <c r="E59" s="5" t="str">
        <f t="shared" si="3"/>
        <v/>
      </c>
      <c r="F59" s="127" t="str">
        <f t="shared" si="4"/>
        <v/>
      </c>
      <c r="G59" s="146" t="str">
        <f t="shared" si="5"/>
        <v/>
      </c>
      <c r="H59" s="324"/>
      <c r="I59" s="324"/>
      <c r="J59" s="324"/>
      <c r="K59" s="324"/>
      <c r="L59" s="233"/>
      <c r="M59" s="233"/>
      <c r="N59" s="230"/>
      <c r="O59" s="324"/>
      <c r="P59" s="324"/>
      <c r="Q59" s="324"/>
      <c r="R59" s="324"/>
      <c r="S59" s="324"/>
      <c r="T59" s="324"/>
      <c r="U59" s="324"/>
      <c r="V59" s="324"/>
      <c r="W59" s="324"/>
      <c r="X59" s="324"/>
      <c r="Y59" s="324"/>
      <c r="Z59" s="324"/>
      <c r="AA59" s="324"/>
      <c r="AB59" s="324"/>
      <c r="AC59" s="324"/>
      <c r="AD59" s="324"/>
    </row>
    <row r="60" spans="1:30" s="7" customFormat="1">
      <c r="A60" s="133"/>
      <c r="B60" s="188"/>
      <c r="C60" s="188"/>
      <c r="D60" s="139"/>
      <c r="E60" s="5" t="str">
        <f t="shared" si="3"/>
        <v/>
      </c>
      <c r="F60" s="127" t="str">
        <f t="shared" si="4"/>
        <v/>
      </c>
      <c r="G60" s="146" t="str">
        <f t="shared" si="5"/>
        <v/>
      </c>
      <c r="H60" s="324"/>
      <c r="I60" s="324"/>
      <c r="J60" s="324"/>
      <c r="K60" s="324"/>
      <c r="L60" s="233"/>
      <c r="M60" s="233"/>
      <c r="N60" s="230"/>
      <c r="O60" s="324"/>
      <c r="P60" s="324"/>
      <c r="Q60" s="324"/>
      <c r="R60" s="324"/>
      <c r="S60" s="324"/>
      <c r="T60" s="324"/>
      <c r="U60" s="324"/>
      <c r="V60" s="324"/>
      <c r="W60" s="324"/>
      <c r="X60" s="324"/>
      <c r="Y60" s="324"/>
      <c r="Z60" s="324"/>
      <c r="AA60" s="324"/>
      <c r="AB60" s="324"/>
      <c r="AC60" s="324"/>
      <c r="AD60" s="324"/>
    </row>
    <row r="61" spans="1:30" s="7" customFormat="1">
      <c r="A61" s="133"/>
      <c r="B61" s="188"/>
      <c r="C61" s="188"/>
      <c r="D61" s="139"/>
      <c r="E61" s="5" t="str">
        <f t="shared" si="3"/>
        <v/>
      </c>
      <c r="F61" s="127" t="str">
        <f t="shared" si="4"/>
        <v/>
      </c>
      <c r="G61" s="146" t="str">
        <f t="shared" si="5"/>
        <v/>
      </c>
      <c r="H61" s="324"/>
      <c r="I61" s="324"/>
      <c r="J61" s="324"/>
      <c r="K61" s="324"/>
      <c r="L61" s="233"/>
      <c r="M61" s="233"/>
      <c r="N61" s="230"/>
      <c r="O61" s="324"/>
      <c r="P61" s="324"/>
      <c r="Q61" s="324"/>
      <c r="R61" s="324"/>
      <c r="S61" s="324"/>
      <c r="T61" s="324"/>
      <c r="U61" s="324"/>
      <c r="V61" s="324"/>
      <c r="W61" s="324"/>
      <c r="X61" s="324"/>
      <c r="Y61" s="324"/>
      <c r="Z61" s="324"/>
      <c r="AA61" s="324"/>
      <c r="AB61" s="324"/>
      <c r="AC61" s="324"/>
      <c r="AD61" s="324"/>
    </row>
    <row r="62" spans="1:30" s="7" customFormat="1">
      <c r="A62" s="133"/>
      <c r="B62" s="188"/>
      <c r="C62" s="188"/>
      <c r="D62" s="139"/>
      <c r="E62" s="5" t="str">
        <f t="shared" si="3"/>
        <v/>
      </c>
      <c r="F62" s="127" t="str">
        <f t="shared" si="4"/>
        <v/>
      </c>
      <c r="G62" s="146" t="str">
        <f t="shared" si="5"/>
        <v/>
      </c>
      <c r="H62" s="324"/>
      <c r="I62" s="324"/>
      <c r="J62" s="324"/>
      <c r="K62" s="324"/>
      <c r="L62" s="233"/>
      <c r="M62" s="233"/>
      <c r="N62" s="230"/>
      <c r="O62" s="324"/>
      <c r="P62" s="324"/>
      <c r="Q62" s="324"/>
      <c r="R62" s="324"/>
      <c r="S62" s="324"/>
      <c r="T62" s="324"/>
      <c r="U62" s="324"/>
      <c r="V62" s="324"/>
      <c r="W62" s="324"/>
      <c r="X62" s="324"/>
      <c r="Y62" s="324"/>
      <c r="Z62" s="324"/>
      <c r="AA62" s="324"/>
      <c r="AB62" s="324"/>
      <c r="AC62" s="324"/>
      <c r="AD62" s="324"/>
    </row>
    <row r="63" spans="1:30" s="7" customFormat="1">
      <c r="A63" s="133"/>
      <c r="B63" s="188"/>
      <c r="C63" s="188"/>
      <c r="D63" s="139"/>
      <c r="E63" s="5" t="str">
        <f t="shared" si="3"/>
        <v/>
      </c>
      <c r="F63" s="127" t="str">
        <f t="shared" si="4"/>
        <v/>
      </c>
      <c r="G63" s="146" t="str">
        <f t="shared" si="5"/>
        <v/>
      </c>
      <c r="H63" s="324"/>
      <c r="I63" s="324"/>
      <c r="J63" s="324"/>
      <c r="K63" s="324"/>
      <c r="L63" s="233"/>
      <c r="M63" s="233"/>
      <c r="N63" s="230"/>
      <c r="O63" s="324"/>
      <c r="P63" s="324"/>
      <c r="Q63" s="324"/>
      <c r="R63" s="324"/>
      <c r="S63" s="324"/>
      <c r="T63" s="324"/>
      <c r="U63" s="324"/>
      <c r="V63" s="324"/>
      <c r="W63" s="324"/>
      <c r="X63" s="324"/>
      <c r="Y63" s="324"/>
      <c r="Z63" s="324"/>
      <c r="AA63" s="324"/>
      <c r="AB63" s="324"/>
      <c r="AC63" s="324"/>
      <c r="AD63" s="324"/>
    </row>
    <row r="64" spans="1:30" s="7" customFormat="1">
      <c r="A64" s="133"/>
      <c r="B64" s="188"/>
      <c r="C64" s="188"/>
      <c r="D64" s="139"/>
      <c r="E64" s="5" t="str">
        <f t="shared" si="3"/>
        <v/>
      </c>
      <c r="F64" s="127" t="str">
        <f t="shared" si="4"/>
        <v/>
      </c>
      <c r="G64" s="146" t="str">
        <f t="shared" si="5"/>
        <v/>
      </c>
      <c r="H64" s="324"/>
      <c r="I64" s="324"/>
      <c r="J64" s="324"/>
      <c r="K64" s="324"/>
      <c r="L64" s="233"/>
      <c r="M64" s="233"/>
      <c r="N64" s="230"/>
      <c r="O64" s="324"/>
      <c r="P64" s="324"/>
      <c r="Q64" s="324"/>
      <c r="R64" s="324"/>
      <c r="S64" s="324"/>
      <c r="T64" s="324"/>
      <c r="U64" s="324"/>
      <c r="V64" s="324"/>
      <c r="W64" s="324"/>
      <c r="X64" s="324"/>
      <c r="Y64" s="324"/>
      <c r="Z64" s="324"/>
      <c r="AA64" s="324"/>
      <c r="AB64" s="324"/>
      <c r="AC64" s="324"/>
      <c r="AD64" s="324"/>
    </row>
    <row r="65" spans="1:30" s="7" customFormat="1">
      <c r="A65" s="133"/>
      <c r="B65" s="188"/>
      <c r="C65" s="188"/>
      <c r="D65" s="139"/>
      <c r="E65" s="5" t="str">
        <f t="shared" si="3"/>
        <v/>
      </c>
      <c r="F65" s="127" t="str">
        <f t="shared" si="4"/>
        <v/>
      </c>
      <c r="G65" s="146" t="str">
        <f t="shared" si="5"/>
        <v/>
      </c>
      <c r="H65" s="324"/>
      <c r="I65" s="324"/>
      <c r="J65" s="324"/>
      <c r="K65" s="324"/>
      <c r="L65" s="233"/>
      <c r="M65" s="233"/>
      <c r="N65" s="230"/>
      <c r="O65" s="324"/>
      <c r="P65" s="324"/>
      <c r="Q65" s="324"/>
      <c r="R65" s="324"/>
      <c r="S65" s="324"/>
      <c r="T65" s="324"/>
      <c r="U65" s="324"/>
      <c r="V65" s="324"/>
      <c r="W65" s="324"/>
      <c r="X65" s="324"/>
      <c r="Y65" s="324"/>
      <c r="Z65" s="324"/>
      <c r="AA65" s="324"/>
      <c r="AB65" s="324"/>
      <c r="AC65" s="324"/>
      <c r="AD65" s="324"/>
    </row>
    <row r="66" spans="1:30" s="7" customFormat="1">
      <c r="A66" s="133"/>
      <c r="B66" s="188"/>
      <c r="C66" s="188"/>
      <c r="D66" s="139"/>
      <c r="E66" s="5" t="str">
        <f t="shared" si="3"/>
        <v/>
      </c>
      <c r="F66" s="127" t="str">
        <f t="shared" si="4"/>
        <v/>
      </c>
      <c r="G66" s="146" t="str">
        <f t="shared" si="5"/>
        <v/>
      </c>
      <c r="H66" s="324"/>
      <c r="I66" s="324"/>
      <c r="J66" s="324"/>
      <c r="K66" s="324"/>
      <c r="L66" s="233"/>
      <c r="M66" s="233"/>
      <c r="N66" s="230"/>
      <c r="O66" s="324"/>
      <c r="P66" s="324"/>
      <c r="Q66" s="324"/>
      <c r="R66" s="324"/>
      <c r="S66" s="324"/>
      <c r="T66" s="324"/>
      <c r="U66" s="324"/>
      <c r="V66" s="324"/>
      <c r="W66" s="324"/>
      <c r="X66" s="324"/>
      <c r="Y66" s="324"/>
      <c r="Z66" s="324"/>
      <c r="AA66" s="324"/>
      <c r="AB66" s="324"/>
      <c r="AC66" s="324"/>
      <c r="AD66" s="324"/>
    </row>
    <row r="67" spans="1:30" s="7" customFormat="1">
      <c r="A67" s="133"/>
      <c r="B67" s="188"/>
      <c r="C67" s="188"/>
      <c r="D67" s="139"/>
      <c r="E67" s="5" t="str">
        <f t="shared" si="3"/>
        <v/>
      </c>
      <c r="F67" s="127" t="str">
        <f t="shared" si="4"/>
        <v/>
      </c>
      <c r="G67" s="146" t="str">
        <f t="shared" si="5"/>
        <v/>
      </c>
      <c r="H67" s="324"/>
      <c r="I67" s="324"/>
      <c r="J67" s="324"/>
      <c r="K67" s="324"/>
      <c r="L67" s="233"/>
      <c r="M67" s="233"/>
      <c r="N67" s="230"/>
      <c r="O67" s="324"/>
      <c r="P67" s="324"/>
      <c r="Q67" s="324"/>
      <c r="R67" s="324"/>
      <c r="S67" s="324"/>
      <c r="T67" s="324"/>
      <c r="U67" s="324"/>
      <c r="V67" s="324"/>
      <c r="W67" s="324"/>
      <c r="X67" s="324"/>
      <c r="Y67" s="324"/>
      <c r="Z67" s="324"/>
      <c r="AA67" s="324"/>
      <c r="AB67" s="324"/>
      <c r="AC67" s="324"/>
      <c r="AD67" s="324"/>
    </row>
    <row r="68" spans="1:30" s="7" customFormat="1">
      <c r="A68" s="133"/>
      <c r="B68" s="188"/>
      <c r="C68" s="188"/>
      <c r="D68" s="139"/>
      <c r="E68" s="5" t="str">
        <f t="shared" si="3"/>
        <v/>
      </c>
      <c r="F68" s="127" t="str">
        <f t="shared" si="4"/>
        <v/>
      </c>
      <c r="G68" s="146" t="str">
        <f t="shared" si="5"/>
        <v/>
      </c>
      <c r="H68" s="324"/>
      <c r="I68" s="324"/>
      <c r="J68" s="324"/>
      <c r="K68" s="324"/>
      <c r="L68" s="233"/>
      <c r="M68" s="233"/>
      <c r="N68" s="230"/>
      <c r="O68" s="324"/>
      <c r="P68" s="324"/>
      <c r="Q68" s="324"/>
      <c r="R68" s="324"/>
      <c r="S68" s="324"/>
      <c r="T68" s="324"/>
      <c r="U68" s="324"/>
      <c r="V68" s="324"/>
      <c r="W68" s="324"/>
      <c r="X68" s="324"/>
      <c r="Y68" s="324"/>
      <c r="Z68" s="324"/>
      <c r="AA68" s="324"/>
      <c r="AB68" s="324"/>
      <c r="AC68" s="324"/>
      <c r="AD68" s="324"/>
    </row>
    <row r="69" spans="1:30" s="7" customFormat="1">
      <c r="A69" s="133"/>
      <c r="B69" s="188"/>
      <c r="C69" s="188"/>
      <c r="D69" s="139"/>
      <c r="E69" s="5" t="str">
        <f t="shared" si="3"/>
        <v/>
      </c>
      <c r="F69" s="127" t="str">
        <f t="shared" si="4"/>
        <v/>
      </c>
      <c r="G69" s="146" t="str">
        <f t="shared" si="5"/>
        <v/>
      </c>
      <c r="H69" s="324"/>
      <c r="I69" s="324"/>
      <c r="J69" s="324"/>
      <c r="K69" s="324"/>
      <c r="L69" s="233"/>
      <c r="M69" s="233"/>
      <c r="N69" s="230"/>
      <c r="O69" s="324"/>
      <c r="P69" s="324"/>
      <c r="Q69" s="324"/>
      <c r="R69" s="324"/>
      <c r="S69" s="324"/>
      <c r="T69" s="324"/>
      <c r="U69" s="324"/>
      <c r="V69" s="324"/>
      <c r="W69" s="324"/>
      <c r="X69" s="324"/>
      <c r="Y69" s="324"/>
      <c r="Z69" s="324"/>
      <c r="AA69" s="324"/>
      <c r="AB69" s="324"/>
      <c r="AC69" s="324"/>
      <c r="AD69" s="324"/>
    </row>
    <row r="70" spans="1:30" s="7" customFormat="1">
      <c r="A70" s="133"/>
      <c r="B70" s="188"/>
      <c r="C70" s="188"/>
      <c r="D70" s="139"/>
      <c r="E70" s="5" t="str">
        <f t="shared" si="3"/>
        <v/>
      </c>
      <c r="F70" s="127" t="str">
        <f t="shared" si="4"/>
        <v/>
      </c>
      <c r="G70" s="146" t="str">
        <f t="shared" si="5"/>
        <v/>
      </c>
      <c r="H70" s="324"/>
      <c r="I70" s="324"/>
      <c r="J70" s="324"/>
      <c r="K70" s="324"/>
      <c r="L70" s="233"/>
      <c r="M70" s="233"/>
      <c r="N70" s="230"/>
      <c r="O70" s="324"/>
      <c r="P70" s="324"/>
      <c r="Q70" s="324"/>
      <c r="R70" s="324"/>
      <c r="S70" s="324"/>
      <c r="T70" s="324"/>
      <c r="U70" s="324"/>
      <c r="V70" s="324"/>
      <c r="W70" s="324"/>
      <c r="X70" s="324"/>
      <c r="Y70" s="324"/>
      <c r="Z70" s="324"/>
      <c r="AA70" s="324"/>
      <c r="AB70" s="324"/>
      <c r="AC70" s="324"/>
      <c r="AD70" s="324"/>
    </row>
    <row r="71" spans="1:30" s="7" customFormat="1">
      <c r="A71" s="133"/>
      <c r="B71" s="188"/>
      <c r="C71" s="188"/>
      <c r="D71" s="139"/>
      <c r="E71" s="5" t="str">
        <f t="shared" si="3"/>
        <v/>
      </c>
      <c r="F71" s="127" t="str">
        <f t="shared" si="4"/>
        <v/>
      </c>
      <c r="G71" s="146" t="str">
        <f t="shared" si="5"/>
        <v/>
      </c>
      <c r="H71" s="324"/>
      <c r="I71" s="324"/>
      <c r="J71" s="324"/>
      <c r="K71" s="324"/>
      <c r="L71" s="233"/>
      <c r="M71" s="233"/>
      <c r="N71" s="230"/>
      <c r="O71" s="324"/>
      <c r="P71" s="324"/>
      <c r="Q71" s="324"/>
      <c r="R71" s="324"/>
      <c r="S71" s="324"/>
      <c r="T71" s="324"/>
      <c r="U71" s="324"/>
      <c r="V71" s="324"/>
      <c r="W71" s="324"/>
      <c r="X71" s="324"/>
      <c r="Y71" s="324"/>
      <c r="Z71" s="324"/>
      <c r="AA71" s="324"/>
      <c r="AB71" s="324"/>
      <c r="AC71" s="324"/>
      <c r="AD71" s="324"/>
    </row>
    <row r="72" spans="1:30" s="7" customFormat="1">
      <c r="A72" s="133"/>
      <c r="B72" s="188"/>
      <c r="C72" s="188"/>
      <c r="D72" s="139"/>
      <c r="E72" s="5" t="str">
        <f t="shared" si="3"/>
        <v/>
      </c>
      <c r="F72" s="127" t="str">
        <f t="shared" si="4"/>
        <v/>
      </c>
      <c r="G72" s="146" t="str">
        <f t="shared" si="5"/>
        <v/>
      </c>
      <c r="H72" s="324"/>
      <c r="I72" s="324"/>
      <c r="J72" s="324"/>
      <c r="K72" s="324"/>
      <c r="L72" s="233"/>
      <c r="M72" s="233"/>
      <c r="N72" s="230"/>
      <c r="O72" s="324"/>
      <c r="P72" s="324"/>
      <c r="Q72" s="324"/>
      <c r="R72" s="324"/>
      <c r="S72" s="324"/>
      <c r="T72" s="324"/>
      <c r="U72" s="324"/>
      <c r="V72" s="324"/>
      <c r="W72" s="324"/>
      <c r="X72" s="324"/>
      <c r="Y72" s="324"/>
      <c r="Z72" s="324"/>
      <c r="AA72" s="324"/>
      <c r="AB72" s="324"/>
      <c r="AC72" s="324"/>
      <c r="AD72" s="324"/>
    </row>
    <row r="73" spans="1:30" s="7" customFormat="1">
      <c r="A73" s="133"/>
      <c r="B73" s="188"/>
      <c r="C73" s="188"/>
      <c r="D73" s="139"/>
      <c r="E73" s="5" t="str">
        <f t="shared" si="3"/>
        <v/>
      </c>
      <c r="F73" s="127" t="str">
        <f t="shared" si="4"/>
        <v/>
      </c>
      <c r="G73" s="146" t="str">
        <f t="shared" si="5"/>
        <v/>
      </c>
      <c r="H73" s="324"/>
      <c r="I73" s="324"/>
      <c r="J73" s="324"/>
      <c r="K73" s="324"/>
      <c r="L73" s="233"/>
      <c r="M73" s="233"/>
      <c r="N73" s="230"/>
      <c r="O73" s="324"/>
      <c r="P73" s="324"/>
      <c r="Q73" s="324"/>
      <c r="R73" s="324"/>
      <c r="S73" s="324"/>
      <c r="T73" s="324"/>
      <c r="U73" s="324"/>
      <c r="V73" s="324"/>
      <c r="W73" s="324"/>
      <c r="X73" s="324"/>
      <c r="Y73" s="324"/>
      <c r="Z73" s="324"/>
      <c r="AA73" s="324"/>
      <c r="AB73" s="324"/>
      <c r="AC73" s="324"/>
      <c r="AD73" s="324"/>
    </row>
    <row r="74" spans="1:30" s="7" customFormat="1">
      <c r="A74" s="133"/>
      <c r="B74" s="188"/>
      <c r="C74" s="188"/>
      <c r="D74" s="139"/>
      <c r="E74" s="5" t="str">
        <f t="shared" si="3"/>
        <v/>
      </c>
      <c r="F74" s="127" t="str">
        <f t="shared" si="4"/>
        <v/>
      </c>
      <c r="G74" s="146" t="str">
        <f t="shared" si="5"/>
        <v/>
      </c>
      <c r="H74" s="324"/>
      <c r="I74" s="324"/>
      <c r="J74" s="324"/>
      <c r="K74" s="324"/>
      <c r="L74" s="233"/>
      <c r="M74" s="233"/>
      <c r="N74" s="230"/>
      <c r="O74" s="324"/>
      <c r="P74" s="324"/>
      <c r="Q74" s="324"/>
      <c r="R74" s="324"/>
      <c r="S74" s="324"/>
      <c r="T74" s="324"/>
      <c r="U74" s="324"/>
      <c r="V74" s="324"/>
      <c r="W74" s="324"/>
      <c r="X74" s="324"/>
      <c r="Y74" s="324"/>
      <c r="Z74" s="324"/>
      <c r="AA74" s="324"/>
      <c r="AB74" s="324"/>
      <c r="AC74" s="324"/>
      <c r="AD74" s="324"/>
    </row>
    <row r="75" spans="1:30" s="7" customFormat="1">
      <c r="A75" s="133"/>
      <c r="B75" s="188"/>
      <c r="C75" s="188"/>
      <c r="D75" s="139"/>
      <c r="E75" s="5" t="str">
        <f t="shared" si="3"/>
        <v/>
      </c>
      <c r="F75" s="127" t="str">
        <f t="shared" si="4"/>
        <v/>
      </c>
      <c r="G75" s="146" t="str">
        <f t="shared" si="5"/>
        <v/>
      </c>
      <c r="H75" s="324"/>
      <c r="I75" s="324"/>
      <c r="J75" s="324"/>
      <c r="K75" s="324"/>
      <c r="L75" s="233"/>
      <c r="M75" s="233"/>
      <c r="N75" s="230"/>
      <c r="O75" s="324"/>
      <c r="P75" s="324"/>
      <c r="Q75" s="324"/>
      <c r="R75" s="324"/>
      <c r="S75" s="324"/>
      <c r="T75" s="324"/>
      <c r="U75" s="324"/>
      <c r="V75" s="324"/>
      <c r="W75" s="324"/>
      <c r="X75" s="324"/>
      <c r="Y75" s="324"/>
      <c r="Z75" s="324"/>
      <c r="AA75" s="324"/>
      <c r="AB75" s="324"/>
      <c r="AC75" s="324"/>
      <c r="AD75" s="324"/>
    </row>
    <row r="76" spans="1:30" s="7" customFormat="1">
      <c r="A76" s="133"/>
      <c r="B76" s="188"/>
      <c r="C76" s="188"/>
      <c r="D76" s="139"/>
      <c r="E76" s="5" t="str">
        <f t="shared" si="3"/>
        <v/>
      </c>
      <c r="F76" s="127" t="str">
        <f t="shared" si="4"/>
        <v/>
      </c>
      <c r="G76" s="146" t="str">
        <f t="shared" si="5"/>
        <v/>
      </c>
      <c r="H76" s="324"/>
      <c r="I76" s="324"/>
      <c r="J76" s="324"/>
      <c r="K76" s="324"/>
      <c r="L76" s="233"/>
      <c r="M76" s="233"/>
      <c r="N76" s="230"/>
      <c r="O76" s="324"/>
      <c r="P76" s="324"/>
      <c r="Q76" s="324"/>
      <c r="R76" s="324"/>
      <c r="S76" s="324"/>
      <c r="T76" s="324"/>
      <c r="U76" s="324"/>
      <c r="V76" s="324"/>
      <c r="W76" s="324"/>
      <c r="X76" s="324"/>
      <c r="Y76" s="324"/>
      <c r="Z76" s="324"/>
      <c r="AA76" s="324"/>
      <c r="AB76" s="324"/>
      <c r="AC76" s="324"/>
      <c r="AD76" s="324"/>
    </row>
    <row r="77" spans="1:30" s="7" customFormat="1">
      <c r="A77" s="133"/>
      <c r="B77" s="188"/>
      <c r="C77" s="188"/>
      <c r="D77" s="139"/>
      <c r="E77" s="5" t="str">
        <f t="shared" si="3"/>
        <v/>
      </c>
      <c r="F77" s="127" t="str">
        <f t="shared" si="4"/>
        <v/>
      </c>
      <c r="G77" s="146" t="str">
        <f t="shared" si="5"/>
        <v/>
      </c>
      <c r="H77" s="324"/>
      <c r="I77" s="324"/>
      <c r="J77" s="324"/>
      <c r="K77" s="324"/>
      <c r="L77" s="233"/>
      <c r="M77" s="233"/>
      <c r="N77" s="230"/>
      <c r="O77" s="324"/>
      <c r="P77" s="324"/>
      <c r="Q77" s="324"/>
      <c r="R77" s="324"/>
      <c r="S77" s="324"/>
      <c r="T77" s="324"/>
      <c r="U77" s="324"/>
      <c r="V77" s="324"/>
      <c r="W77" s="324"/>
      <c r="X77" s="324"/>
      <c r="Y77" s="324"/>
      <c r="Z77" s="324"/>
      <c r="AA77" s="324"/>
      <c r="AB77" s="324"/>
      <c r="AC77" s="324"/>
      <c r="AD77" s="324"/>
    </row>
    <row r="78" spans="1:30" s="7" customFormat="1">
      <c r="A78" s="133"/>
      <c r="B78" s="188"/>
      <c r="C78" s="188"/>
      <c r="D78" s="139"/>
      <c r="E78" s="5" t="str">
        <f t="shared" si="3"/>
        <v/>
      </c>
      <c r="F78" s="127" t="str">
        <f t="shared" si="4"/>
        <v/>
      </c>
      <c r="G78" s="146" t="str">
        <f t="shared" si="5"/>
        <v/>
      </c>
      <c r="H78" s="324"/>
      <c r="I78" s="324"/>
      <c r="J78" s="324"/>
      <c r="K78" s="324"/>
      <c r="L78" s="233"/>
      <c r="M78" s="233"/>
      <c r="N78" s="230"/>
      <c r="O78" s="324"/>
      <c r="P78" s="324"/>
      <c r="Q78" s="324"/>
      <c r="R78" s="324"/>
      <c r="S78" s="324"/>
      <c r="T78" s="324"/>
      <c r="U78" s="324"/>
      <c r="V78" s="324"/>
      <c r="W78" s="324"/>
      <c r="X78" s="324"/>
      <c r="Y78" s="324"/>
      <c r="Z78" s="324"/>
      <c r="AA78" s="324"/>
      <c r="AB78" s="324"/>
      <c r="AC78" s="324"/>
      <c r="AD78" s="324"/>
    </row>
    <row r="79" spans="1:30" s="7" customFormat="1">
      <c r="A79" s="133"/>
      <c r="B79" s="188"/>
      <c r="C79" s="188"/>
      <c r="D79" s="139"/>
      <c r="E79" s="5" t="str">
        <f t="shared" si="3"/>
        <v/>
      </c>
      <c r="F79" s="127" t="str">
        <f t="shared" si="4"/>
        <v/>
      </c>
      <c r="G79" s="146" t="str">
        <f t="shared" si="5"/>
        <v/>
      </c>
      <c r="H79" s="324"/>
      <c r="I79" s="324"/>
      <c r="J79" s="324"/>
      <c r="K79" s="324"/>
      <c r="L79" s="233"/>
      <c r="M79" s="233"/>
      <c r="N79" s="230"/>
      <c r="O79" s="324"/>
      <c r="P79" s="324"/>
      <c r="Q79" s="324"/>
      <c r="R79" s="324"/>
      <c r="S79" s="324"/>
      <c r="T79" s="324"/>
      <c r="U79" s="324"/>
      <c r="V79" s="324"/>
      <c r="W79" s="324"/>
      <c r="X79" s="324"/>
      <c r="Y79" s="324"/>
      <c r="Z79" s="324"/>
      <c r="AA79" s="324"/>
      <c r="AB79" s="324"/>
      <c r="AC79" s="324"/>
      <c r="AD79" s="324"/>
    </row>
    <row r="80" spans="1:30" s="7" customFormat="1">
      <c r="A80" s="133"/>
      <c r="B80" s="188"/>
      <c r="C80" s="188"/>
      <c r="D80" s="139"/>
      <c r="E80" s="5" t="str">
        <f t="shared" si="3"/>
        <v/>
      </c>
      <c r="F80" s="127" t="str">
        <f t="shared" si="4"/>
        <v/>
      </c>
      <c r="G80" s="146" t="str">
        <f t="shared" si="5"/>
        <v/>
      </c>
      <c r="H80" s="324"/>
      <c r="I80" s="324"/>
      <c r="J80" s="324"/>
      <c r="K80" s="324"/>
      <c r="L80" s="233"/>
      <c r="M80" s="233"/>
      <c r="N80" s="230"/>
      <c r="O80" s="324"/>
      <c r="P80" s="324"/>
      <c r="Q80" s="324"/>
      <c r="R80" s="324"/>
      <c r="S80" s="324"/>
      <c r="T80" s="324"/>
      <c r="U80" s="324"/>
      <c r="V80" s="324"/>
      <c r="W80" s="324"/>
      <c r="X80" s="324"/>
      <c r="Y80" s="324"/>
      <c r="Z80" s="324"/>
      <c r="AA80" s="324"/>
      <c r="AB80" s="324"/>
      <c r="AC80" s="324"/>
      <c r="AD80" s="324"/>
    </row>
    <row r="81" spans="1:30" s="7" customFormat="1">
      <c r="A81" s="133"/>
      <c r="B81" s="188"/>
      <c r="C81" s="188"/>
      <c r="D81" s="139"/>
      <c r="E81" s="5" t="str">
        <f t="shared" si="3"/>
        <v/>
      </c>
      <c r="F81" s="127" t="str">
        <f t="shared" si="4"/>
        <v/>
      </c>
      <c r="G81" s="146" t="str">
        <f t="shared" si="5"/>
        <v/>
      </c>
      <c r="H81" s="324"/>
      <c r="I81" s="324"/>
      <c r="J81" s="324"/>
      <c r="K81" s="324"/>
      <c r="L81" s="233"/>
      <c r="M81" s="233"/>
      <c r="N81" s="230"/>
      <c r="O81" s="324"/>
      <c r="P81" s="324"/>
      <c r="Q81" s="324"/>
      <c r="R81" s="324"/>
      <c r="S81" s="324"/>
      <c r="T81" s="324"/>
      <c r="U81" s="324"/>
      <c r="V81" s="324"/>
      <c r="W81" s="324"/>
      <c r="X81" s="324"/>
      <c r="Y81" s="324"/>
      <c r="Z81" s="324"/>
      <c r="AA81" s="324"/>
      <c r="AB81" s="324"/>
      <c r="AC81" s="324"/>
      <c r="AD81" s="324"/>
    </row>
    <row r="82" spans="1:30" s="7" customFormat="1">
      <c r="A82" s="133"/>
      <c r="B82" s="188"/>
      <c r="C82" s="188"/>
      <c r="D82" s="139"/>
      <c r="E82" s="5" t="str">
        <f t="shared" si="3"/>
        <v/>
      </c>
      <c r="F82" s="127" t="str">
        <f t="shared" si="4"/>
        <v/>
      </c>
      <c r="G82" s="146" t="str">
        <f t="shared" si="5"/>
        <v/>
      </c>
      <c r="H82" s="324"/>
      <c r="I82" s="324"/>
      <c r="J82" s="324"/>
      <c r="K82" s="324"/>
      <c r="L82" s="233"/>
      <c r="M82" s="233"/>
      <c r="N82" s="230"/>
      <c r="O82" s="324"/>
      <c r="P82" s="324"/>
      <c r="Q82" s="324"/>
      <c r="R82" s="324"/>
      <c r="S82" s="324"/>
      <c r="T82" s="324"/>
      <c r="U82" s="324"/>
      <c r="V82" s="324"/>
      <c r="W82" s="324"/>
      <c r="X82" s="324"/>
      <c r="Y82" s="324"/>
      <c r="Z82" s="324"/>
      <c r="AA82" s="324"/>
      <c r="AB82" s="324"/>
      <c r="AC82" s="324"/>
      <c r="AD82" s="324"/>
    </row>
    <row r="83" spans="1:30" s="7" customFormat="1">
      <c r="A83" s="133"/>
      <c r="B83" s="188"/>
      <c r="C83" s="188"/>
      <c r="D83" s="139"/>
      <c r="E83" s="5" t="str">
        <f t="shared" si="3"/>
        <v/>
      </c>
      <c r="F83" s="127" t="str">
        <f t="shared" si="4"/>
        <v/>
      </c>
      <c r="G83" s="146" t="str">
        <f t="shared" si="5"/>
        <v/>
      </c>
      <c r="H83" s="324"/>
      <c r="I83" s="324"/>
      <c r="J83" s="324"/>
      <c r="K83" s="324"/>
      <c r="L83" s="233"/>
      <c r="M83" s="233"/>
      <c r="N83" s="230"/>
      <c r="O83" s="324"/>
      <c r="P83" s="324"/>
      <c r="Q83" s="324"/>
      <c r="R83" s="324"/>
      <c r="S83" s="324"/>
      <c r="T83" s="324"/>
      <c r="U83" s="324"/>
      <c r="V83" s="324"/>
      <c r="W83" s="324"/>
      <c r="X83" s="324"/>
      <c r="Y83" s="324"/>
      <c r="Z83" s="324"/>
      <c r="AA83" s="324"/>
      <c r="AB83" s="324"/>
      <c r="AC83" s="324"/>
      <c r="AD83" s="324"/>
    </row>
    <row r="84" spans="1:30" s="7" customFormat="1">
      <c r="A84" s="133"/>
      <c r="B84" s="188"/>
      <c r="C84" s="188"/>
      <c r="D84" s="139"/>
      <c r="E84" s="5" t="str">
        <f t="shared" si="3"/>
        <v/>
      </c>
      <c r="F84" s="127" t="str">
        <f t="shared" si="4"/>
        <v/>
      </c>
      <c r="G84" s="146" t="str">
        <f t="shared" si="5"/>
        <v/>
      </c>
      <c r="H84" s="324"/>
      <c r="I84" s="324"/>
      <c r="J84" s="324"/>
      <c r="K84" s="324"/>
      <c r="L84" s="233"/>
      <c r="M84" s="233"/>
      <c r="N84" s="230"/>
      <c r="O84" s="324"/>
      <c r="P84" s="324"/>
      <c r="Q84" s="324"/>
      <c r="R84" s="324"/>
      <c r="S84" s="324"/>
      <c r="T84" s="324"/>
      <c r="U84" s="324"/>
      <c r="V84" s="324"/>
      <c r="W84" s="324"/>
      <c r="X84" s="324"/>
      <c r="Y84" s="324"/>
      <c r="Z84" s="324"/>
      <c r="AA84" s="324"/>
      <c r="AB84" s="324"/>
      <c r="AC84" s="324"/>
      <c r="AD84" s="324"/>
    </row>
    <row r="85" spans="1:30" s="7" customFormat="1">
      <c r="A85" s="133"/>
      <c r="B85" s="188"/>
      <c r="C85" s="188"/>
      <c r="D85" s="139"/>
      <c r="E85" s="5" t="str">
        <f t="shared" si="3"/>
        <v/>
      </c>
      <c r="F85" s="127" t="str">
        <f t="shared" si="4"/>
        <v/>
      </c>
      <c r="G85" s="146" t="str">
        <f t="shared" si="5"/>
        <v/>
      </c>
      <c r="H85" s="324"/>
      <c r="I85" s="324"/>
      <c r="J85" s="324"/>
      <c r="K85" s="324"/>
      <c r="L85" s="233"/>
      <c r="M85" s="233"/>
      <c r="N85" s="230"/>
      <c r="O85" s="324"/>
      <c r="P85" s="324"/>
      <c r="Q85" s="324"/>
      <c r="R85" s="324"/>
      <c r="S85" s="324"/>
      <c r="T85" s="324"/>
      <c r="U85" s="324"/>
      <c r="V85" s="324"/>
      <c r="W85" s="324"/>
      <c r="X85" s="324"/>
      <c r="Y85" s="324"/>
      <c r="Z85" s="324"/>
      <c r="AA85" s="324"/>
      <c r="AB85" s="324"/>
      <c r="AC85" s="324"/>
      <c r="AD85" s="324"/>
    </row>
    <row r="86" spans="1:30" s="7" customFormat="1">
      <c r="A86" s="133"/>
      <c r="B86" s="188"/>
      <c r="C86" s="188"/>
      <c r="D86" s="139"/>
      <c r="E86" s="5" t="str">
        <f t="shared" si="3"/>
        <v/>
      </c>
      <c r="F86" s="127" t="str">
        <f t="shared" si="4"/>
        <v/>
      </c>
      <c r="G86" s="146" t="str">
        <f t="shared" si="5"/>
        <v/>
      </c>
      <c r="H86" s="324"/>
      <c r="I86" s="324"/>
      <c r="J86" s="324"/>
      <c r="K86" s="324"/>
      <c r="L86" s="233"/>
      <c r="M86" s="233"/>
      <c r="N86" s="230"/>
      <c r="O86" s="324"/>
      <c r="P86" s="324"/>
      <c r="Q86" s="324"/>
      <c r="R86" s="324"/>
      <c r="S86" s="324"/>
      <c r="T86" s="324"/>
      <c r="U86" s="324"/>
      <c r="V86" s="324"/>
      <c r="W86" s="324"/>
      <c r="X86" s="324"/>
      <c r="Y86" s="324"/>
      <c r="Z86" s="324"/>
      <c r="AA86" s="324"/>
      <c r="AB86" s="324"/>
      <c r="AC86" s="324"/>
      <c r="AD86" s="324"/>
    </row>
    <row r="87" spans="1:30" s="7" customFormat="1">
      <c r="A87" s="133"/>
      <c r="B87" s="188"/>
      <c r="C87" s="188"/>
      <c r="D87" s="139"/>
      <c r="E87" s="5" t="str">
        <f t="shared" si="3"/>
        <v/>
      </c>
      <c r="F87" s="127" t="str">
        <f t="shared" si="4"/>
        <v/>
      </c>
      <c r="G87" s="146" t="str">
        <f t="shared" si="5"/>
        <v/>
      </c>
      <c r="H87" s="324"/>
      <c r="I87" s="324"/>
      <c r="J87" s="324"/>
      <c r="K87" s="324"/>
      <c r="L87" s="233"/>
      <c r="M87" s="233"/>
      <c r="N87" s="230"/>
      <c r="O87" s="324"/>
      <c r="P87" s="324"/>
      <c r="Q87" s="324"/>
      <c r="R87" s="324"/>
      <c r="S87" s="324"/>
      <c r="T87" s="324"/>
      <c r="U87" s="324"/>
      <c r="V87" s="324"/>
      <c r="W87" s="324"/>
      <c r="X87" s="324"/>
      <c r="Y87" s="324"/>
      <c r="Z87" s="324"/>
      <c r="AA87" s="324"/>
      <c r="AB87" s="324"/>
      <c r="AC87" s="324"/>
      <c r="AD87" s="324"/>
    </row>
    <row r="88" spans="1:30" s="7" customFormat="1">
      <c r="A88" s="133"/>
      <c r="B88" s="188"/>
      <c r="C88" s="188"/>
      <c r="D88" s="139"/>
      <c r="E88" s="5" t="str">
        <f t="shared" si="3"/>
        <v/>
      </c>
      <c r="F88" s="127" t="str">
        <f t="shared" si="4"/>
        <v/>
      </c>
      <c r="G88" s="146" t="str">
        <f t="shared" si="5"/>
        <v/>
      </c>
      <c r="H88" s="324"/>
      <c r="I88" s="324"/>
      <c r="J88" s="324"/>
      <c r="K88" s="324"/>
      <c r="L88" s="233"/>
      <c r="M88" s="233"/>
      <c r="N88" s="230"/>
      <c r="O88" s="324"/>
      <c r="P88" s="324"/>
      <c r="Q88" s="324"/>
      <c r="R88" s="324"/>
      <c r="S88" s="324"/>
      <c r="T88" s="324"/>
      <c r="U88" s="324"/>
      <c r="V88" s="324"/>
      <c r="W88" s="324"/>
      <c r="X88" s="324"/>
      <c r="Y88" s="324"/>
      <c r="Z88" s="324"/>
      <c r="AA88" s="324"/>
      <c r="AB88" s="324"/>
      <c r="AC88" s="324"/>
      <c r="AD88" s="324"/>
    </row>
    <row r="89" spans="1:30" s="7" customFormat="1">
      <c r="A89" s="133"/>
      <c r="B89" s="188"/>
      <c r="C89" s="188"/>
      <c r="D89" s="139"/>
      <c r="E89" s="5" t="str">
        <f t="shared" si="3"/>
        <v/>
      </c>
      <c r="F89" s="127" t="str">
        <f t="shared" si="4"/>
        <v/>
      </c>
      <c r="G89" s="146" t="str">
        <f t="shared" si="5"/>
        <v/>
      </c>
      <c r="H89" s="324"/>
      <c r="I89" s="324"/>
      <c r="J89" s="324"/>
      <c r="K89" s="324"/>
      <c r="L89" s="233"/>
      <c r="M89" s="233"/>
      <c r="N89" s="230"/>
      <c r="O89" s="324"/>
      <c r="P89" s="324"/>
      <c r="Q89" s="324"/>
      <c r="R89" s="324"/>
      <c r="S89" s="324"/>
      <c r="T89" s="324"/>
      <c r="U89" s="324"/>
      <c r="V89" s="324"/>
      <c r="W89" s="324"/>
      <c r="X89" s="324"/>
      <c r="Y89" s="324"/>
      <c r="Z89" s="324"/>
      <c r="AA89" s="324"/>
      <c r="AB89" s="324"/>
      <c r="AC89" s="324"/>
      <c r="AD89" s="324"/>
    </row>
    <row r="90" spans="1:30" s="7" customFormat="1">
      <c r="A90" s="133"/>
      <c r="B90" s="188"/>
      <c r="C90" s="188"/>
      <c r="D90" s="139"/>
      <c r="E90" s="5" t="str">
        <f t="shared" si="3"/>
        <v/>
      </c>
      <c r="F90" s="127" t="str">
        <f t="shared" si="4"/>
        <v/>
      </c>
      <c r="G90" s="146" t="str">
        <f t="shared" si="5"/>
        <v/>
      </c>
      <c r="H90" s="324"/>
      <c r="I90" s="324"/>
      <c r="J90" s="324"/>
      <c r="K90" s="324"/>
      <c r="L90" s="233"/>
      <c r="M90" s="233"/>
      <c r="N90" s="230"/>
      <c r="O90" s="324"/>
      <c r="P90" s="324"/>
      <c r="Q90" s="324"/>
      <c r="R90" s="324"/>
      <c r="S90" s="324"/>
      <c r="T90" s="324"/>
      <c r="U90" s="324"/>
      <c r="V90" s="324"/>
      <c r="W90" s="324"/>
      <c r="X90" s="324"/>
      <c r="Y90" s="324"/>
      <c r="Z90" s="324"/>
      <c r="AA90" s="324"/>
      <c r="AB90" s="324"/>
      <c r="AC90" s="324"/>
      <c r="AD90" s="324"/>
    </row>
    <row r="91" spans="1:30" s="7" customFormat="1">
      <c r="A91" s="133"/>
      <c r="B91" s="188"/>
      <c r="C91" s="188"/>
      <c r="D91" s="139"/>
      <c r="E91" s="5" t="str">
        <f t="shared" si="3"/>
        <v/>
      </c>
      <c r="F91" s="127" t="str">
        <f t="shared" si="4"/>
        <v/>
      </c>
      <c r="G91" s="146" t="str">
        <f t="shared" si="5"/>
        <v/>
      </c>
      <c r="H91" s="324"/>
      <c r="I91" s="324"/>
      <c r="J91" s="324"/>
      <c r="K91" s="324"/>
      <c r="L91" s="233"/>
      <c r="M91" s="233"/>
      <c r="N91" s="230"/>
      <c r="O91" s="324"/>
      <c r="P91" s="324"/>
      <c r="Q91" s="324"/>
      <c r="R91" s="324"/>
      <c r="S91" s="324"/>
      <c r="T91" s="324"/>
      <c r="U91" s="324"/>
      <c r="V91" s="324"/>
      <c r="W91" s="324"/>
      <c r="X91" s="324"/>
      <c r="Y91" s="324"/>
      <c r="Z91" s="324"/>
      <c r="AA91" s="324"/>
      <c r="AB91" s="324"/>
      <c r="AC91" s="324"/>
      <c r="AD91" s="324"/>
    </row>
    <row r="92" spans="1:30" s="7" customFormat="1">
      <c r="A92" s="133"/>
      <c r="B92" s="188"/>
      <c r="C92" s="188"/>
      <c r="D92" s="139"/>
      <c r="E92" s="5" t="str">
        <f t="shared" si="3"/>
        <v/>
      </c>
      <c r="F92" s="127" t="str">
        <f t="shared" si="4"/>
        <v/>
      </c>
      <c r="G92" s="146" t="str">
        <f t="shared" si="5"/>
        <v/>
      </c>
      <c r="H92" s="324"/>
      <c r="I92" s="324"/>
      <c r="J92" s="324"/>
      <c r="K92" s="324"/>
      <c r="L92" s="233"/>
      <c r="M92" s="233"/>
      <c r="N92" s="230"/>
      <c r="O92" s="324"/>
      <c r="P92" s="324"/>
      <c r="Q92" s="324"/>
      <c r="R92" s="324"/>
      <c r="S92" s="324"/>
      <c r="T92" s="324"/>
      <c r="U92" s="324"/>
      <c r="V92" s="324"/>
      <c r="W92" s="324"/>
      <c r="X92" s="324"/>
      <c r="Y92" s="324"/>
      <c r="Z92" s="324"/>
      <c r="AA92" s="324"/>
      <c r="AB92" s="324"/>
      <c r="AC92" s="324"/>
      <c r="AD92" s="324"/>
    </row>
    <row r="93" spans="1:30" s="7" customFormat="1">
      <c r="A93" s="133"/>
      <c r="B93" s="188"/>
      <c r="C93" s="188"/>
      <c r="D93" s="139"/>
      <c r="E93" s="5" t="str">
        <f t="shared" si="3"/>
        <v/>
      </c>
      <c r="F93" s="127" t="str">
        <f t="shared" si="4"/>
        <v/>
      </c>
      <c r="G93" s="146" t="str">
        <f t="shared" si="5"/>
        <v/>
      </c>
      <c r="H93" s="324"/>
      <c r="I93" s="324"/>
      <c r="J93" s="324"/>
      <c r="K93" s="324"/>
      <c r="L93" s="233"/>
      <c r="M93" s="233"/>
      <c r="N93" s="230"/>
      <c r="O93" s="324"/>
      <c r="P93" s="324"/>
      <c r="Q93" s="324"/>
      <c r="R93" s="324"/>
      <c r="S93" s="324"/>
      <c r="T93" s="324"/>
      <c r="U93" s="324"/>
      <c r="V93" s="324"/>
      <c r="W93" s="324"/>
      <c r="X93" s="324"/>
      <c r="Y93" s="324"/>
      <c r="Z93" s="324"/>
      <c r="AA93" s="324"/>
      <c r="AB93" s="324"/>
      <c r="AC93" s="324"/>
      <c r="AD93" s="324"/>
    </row>
    <row r="94" spans="1:30" s="7" customFormat="1">
      <c r="A94" s="133"/>
      <c r="B94" s="188"/>
      <c r="C94" s="188"/>
      <c r="D94" s="139"/>
      <c r="E94" s="5" t="str">
        <f t="shared" si="3"/>
        <v/>
      </c>
      <c r="F94" s="127" t="str">
        <f t="shared" si="4"/>
        <v/>
      </c>
      <c r="G94" s="146" t="str">
        <f t="shared" si="5"/>
        <v/>
      </c>
      <c r="H94" s="324"/>
      <c r="I94" s="324"/>
      <c r="J94" s="324"/>
      <c r="K94" s="324"/>
      <c r="L94" s="233"/>
      <c r="M94" s="233"/>
      <c r="N94" s="230"/>
      <c r="O94" s="324"/>
      <c r="P94" s="324"/>
      <c r="Q94" s="324"/>
      <c r="R94" s="324"/>
      <c r="S94" s="324"/>
      <c r="T94" s="324"/>
      <c r="U94" s="324"/>
      <c r="V94" s="324"/>
      <c r="W94" s="324"/>
      <c r="X94" s="324"/>
      <c r="Y94" s="324"/>
      <c r="Z94" s="324"/>
      <c r="AA94" s="324"/>
      <c r="AB94" s="324"/>
      <c r="AC94" s="324"/>
      <c r="AD94" s="324"/>
    </row>
    <row r="95" spans="1:30" s="7" customFormat="1">
      <c r="A95" s="133"/>
      <c r="B95" s="188"/>
      <c r="C95" s="188"/>
      <c r="D95" s="139"/>
      <c r="E95" s="5" t="str">
        <f t="shared" si="3"/>
        <v/>
      </c>
      <c r="F95" s="127" t="str">
        <f t="shared" si="4"/>
        <v/>
      </c>
      <c r="G95" s="146" t="str">
        <f t="shared" si="5"/>
        <v/>
      </c>
      <c r="H95" s="324"/>
      <c r="I95" s="324"/>
      <c r="J95" s="324"/>
      <c r="K95" s="324"/>
      <c r="L95" s="233"/>
      <c r="M95" s="233"/>
      <c r="N95" s="230"/>
      <c r="O95" s="324"/>
      <c r="P95" s="324"/>
      <c r="Q95" s="324"/>
      <c r="R95" s="324"/>
      <c r="S95" s="324"/>
      <c r="T95" s="324"/>
      <c r="U95" s="324"/>
      <c r="V95" s="324"/>
      <c r="W95" s="324"/>
      <c r="X95" s="324"/>
      <c r="Y95" s="324"/>
      <c r="Z95" s="324"/>
      <c r="AA95" s="324"/>
      <c r="AB95" s="324"/>
      <c r="AC95" s="324"/>
      <c r="AD95" s="324"/>
    </row>
    <row r="96" spans="1:30" s="7" customFormat="1">
      <c r="A96" s="133"/>
      <c r="B96" s="188"/>
      <c r="C96" s="188"/>
      <c r="D96" s="139"/>
      <c r="E96" s="5" t="str">
        <f t="shared" si="3"/>
        <v/>
      </c>
      <c r="F96" s="127" t="str">
        <f t="shared" si="4"/>
        <v/>
      </c>
      <c r="G96" s="146" t="str">
        <f t="shared" si="5"/>
        <v/>
      </c>
      <c r="H96" s="324"/>
      <c r="I96" s="324"/>
      <c r="J96" s="324"/>
      <c r="K96" s="324"/>
      <c r="L96" s="233"/>
      <c r="M96" s="233"/>
      <c r="N96" s="230"/>
      <c r="O96" s="324"/>
      <c r="P96" s="324"/>
      <c r="Q96" s="324"/>
      <c r="R96" s="324"/>
      <c r="S96" s="324"/>
      <c r="T96" s="324"/>
      <c r="U96" s="324"/>
      <c r="V96" s="324"/>
      <c r="W96" s="324"/>
      <c r="X96" s="324"/>
      <c r="Y96" s="324"/>
      <c r="Z96" s="324"/>
      <c r="AA96" s="324"/>
      <c r="AB96" s="324"/>
      <c r="AC96" s="324"/>
      <c r="AD96" s="324"/>
    </row>
    <row r="97" spans="1:30" s="7" customFormat="1">
      <c r="A97" s="133"/>
      <c r="B97" s="188"/>
      <c r="C97" s="188"/>
      <c r="D97" s="139"/>
      <c r="E97" s="5" t="str">
        <f t="shared" si="3"/>
        <v/>
      </c>
      <c r="F97" s="127" t="str">
        <f t="shared" si="4"/>
        <v/>
      </c>
      <c r="G97" s="146" t="str">
        <f t="shared" si="5"/>
        <v/>
      </c>
      <c r="H97" s="324"/>
      <c r="I97" s="324"/>
      <c r="J97" s="324"/>
      <c r="K97" s="324"/>
      <c r="L97" s="233"/>
      <c r="M97" s="233"/>
      <c r="N97" s="230"/>
      <c r="O97" s="324"/>
      <c r="P97" s="324"/>
      <c r="Q97" s="324"/>
      <c r="R97" s="324"/>
      <c r="S97" s="324"/>
      <c r="T97" s="324"/>
      <c r="U97" s="324"/>
      <c r="V97" s="324"/>
      <c r="W97" s="324"/>
      <c r="X97" s="324"/>
      <c r="Y97" s="324"/>
      <c r="Z97" s="324"/>
      <c r="AA97" s="324"/>
      <c r="AB97" s="324"/>
      <c r="AC97" s="324"/>
      <c r="AD97" s="324"/>
    </row>
    <row r="98" spans="1:30" s="7" customFormat="1">
      <c r="A98" s="133"/>
      <c r="B98" s="188"/>
      <c r="C98" s="188"/>
      <c r="D98" s="139"/>
      <c r="E98" s="5" t="str">
        <f t="shared" si="3"/>
        <v/>
      </c>
      <c r="F98" s="127" t="str">
        <f t="shared" si="4"/>
        <v/>
      </c>
      <c r="G98" s="146" t="str">
        <f t="shared" si="5"/>
        <v/>
      </c>
      <c r="H98" s="324"/>
      <c r="I98" s="324"/>
      <c r="J98" s="324"/>
      <c r="K98" s="324"/>
      <c r="L98" s="233"/>
      <c r="M98" s="233"/>
      <c r="N98" s="230"/>
      <c r="O98" s="324"/>
      <c r="P98" s="324"/>
      <c r="Q98" s="324"/>
      <c r="R98" s="324"/>
      <c r="S98" s="324"/>
      <c r="T98" s="324"/>
      <c r="U98" s="324"/>
      <c r="V98" s="324"/>
      <c r="W98" s="324"/>
      <c r="X98" s="324"/>
      <c r="Y98" s="324"/>
      <c r="Z98" s="324"/>
      <c r="AA98" s="324"/>
      <c r="AB98" s="324"/>
      <c r="AC98" s="324"/>
      <c r="AD98" s="324"/>
    </row>
    <row r="99" spans="1:30" s="7" customFormat="1">
      <c r="A99" s="133"/>
      <c r="B99" s="188"/>
      <c r="C99" s="188"/>
      <c r="D99" s="139"/>
      <c r="E99" s="5" t="str">
        <f t="shared" si="3"/>
        <v/>
      </c>
      <c r="F99" s="127" t="str">
        <f t="shared" si="4"/>
        <v/>
      </c>
      <c r="G99" s="146" t="str">
        <f t="shared" si="5"/>
        <v/>
      </c>
      <c r="H99" s="324"/>
      <c r="I99" s="324"/>
      <c r="J99" s="324"/>
      <c r="K99" s="324"/>
      <c r="L99" s="233"/>
      <c r="M99" s="233"/>
      <c r="N99" s="230"/>
      <c r="O99" s="324"/>
      <c r="P99" s="324"/>
      <c r="Q99" s="324"/>
      <c r="R99" s="324"/>
      <c r="S99" s="324"/>
      <c r="T99" s="324"/>
      <c r="U99" s="324"/>
      <c r="V99" s="324"/>
      <c r="W99" s="324"/>
      <c r="X99" s="324"/>
      <c r="Y99" s="324"/>
      <c r="Z99" s="324"/>
      <c r="AA99" s="324"/>
      <c r="AB99" s="324"/>
      <c r="AC99" s="324"/>
      <c r="AD99" s="324"/>
    </row>
    <row r="100" spans="1:30" s="7" customFormat="1">
      <c r="A100" s="133"/>
      <c r="B100" s="188"/>
      <c r="C100" s="188"/>
      <c r="D100" s="139"/>
      <c r="E100" s="5" t="str">
        <f t="shared" si="3"/>
        <v/>
      </c>
      <c r="F100" s="127" t="str">
        <f t="shared" si="4"/>
        <v/>
      </c>
      <c r="G100" s="146" t="str">
        <f t="shared" si="5"/>
        <v/>
      </c>
      <c r="H100" s="324"/>
      <c r="I100" s="324"/>
      <c r="J100" s="324"/>
      <c r="K100" s="324"/>
      <c r="L100" s="233"/>
      <c r="M100" s="233"/>
      <c r="N100" s="230"/>
      <c r="O100" s="324"/>
      <c r="P100" s="324"/>
      <c r="Q100" s="324"/>
      <c r="R100" s="324"/>
      <c r="S100" s="324"/>
      <c r="T100" s="324"/>
      <c r="U100" s="324"/>
      <c r="V100" s="324"/>
      <c r="W100" s="324"/>
      <c r="X100" s="324"/>
      <c r="Y100" s="324"/>
      <c r="Z100" s="324"/>
      <c r="AA100" s="324"/>
      <c r="AB100" s="324"/>
      <c r="AC100" s="324"/>
      <c r="AD100" s="324"/>
    </row>
    <row r="101" spans="1:30" s="7" customFormat="1">
      <c r="A101" s="133"/>
      <c r="B101" s="188"/>
      <c r="C101" s="188"/>
      <c r="D101" s="139"/>
      <c r="E101" s="5" t="str">
        <f t="shared" si="3"/>
        <v/>
      </c>
      <c r="F101" s="127" t="str">
        <f t="shared" si="4"/>
        <v/>
      </c>
      <c r="G101" s="146" t="str">
        <f t="shared" si="5"/>
        <v/>
      </c>
      <c r="H101" s="324"/>
      <c r="I101" s="324"/>
      <c r="J101" s="324"/>
      <c r="K101" s="324"/>
      <c r="L101" s="233"/>
      <c r="M101" s="233"/>
      <c r="N101" s="230"/>
      <c r="O101" s="324"/>
      <c r="P101" s="324"/>
      <c r="Q101" s="324"/>
      <c r="R101" s="324"/>
      <c r="S101" s="324"/>
      <c r="T101" s="324"/>
      <c r="U101" s="324"/>
      <c r="V101" s="324"/>
      <c r="W101" s="324"/>
      <c r="X101" s="324"/>
      <c r="Y101" s="324"/>
      <c r="Z101" s="324"/>
      <c r="AA101" s="324"/>
      <c r="AB101" s="324"/>
      <c r="AC101" s="324"/>
      <c r="AD101" s="324"/>
    </row>
    <row r="102" spans="1:30" s="7" customFormat="1">
      <c r="A102" s="133"/>
      <c r="B102" s="188"/>
      <c r="C102" s="188"/>
      <c r="D102" s="139"/>
      <c r="E102" s="5" t="str">
        <f t="shared" si="3"/>
        <v/>
      </c>
      <c r="F102" s="127" t="str">
        <f t="shared" si="4"/>
        <v/>
      </c>
      <c r="G102" s="146" t="str">
        <f t="shared" si="5"/>
        <v/>
      </c>
      <c r="H102" s="324"/>
      <c r="I102" s="324"/>
      <c r="J102" s="324"/>
      <c r="K102" s="324"/>
      <c r="L102" s="233"/>
      <c r="M102" s="233"/>
      <c r="N102" s="230"/>
      <c r="O102" s="324"/>
      <c r="P102" s="324"/>
      <c r="Q102" s="324"/>
      <c r="R102" s="324"/>
      <c r="S102" s="324"/>
      <c r="T102" s="324"/>
      <c r="U102" s="324"/>
      <c r="V102" s="324"/>
      <c r="W102" s="324"/>
      <c r="X102" s="324"/>
      <c r="Y102" s="324"/>
      <c r="Z102" s="324"/>
      <c r="AA102" s="324"/>
      <c r="AB102" s="324"/>
      <c r="AC102" s="324"/>
      <c r="AD102" s="324"/>
    </row>
    <row r="103" spans="1:30" s="7" customFormat="1">
      <c r="A103" s="133"/>
      <c r="B103" s="188"/>
      <c r="C103" s="188"/>
      <c r="D103" s="139"/>
      <c r="E103" s="5" t="str">
        <f t="shared" si="3"/>
        <v/>
      </c>
      <c r="F103" s="127" t="str">
        <f t="shared" si="4"/>
        <v/>
      </c>
      <c r="G103" s="146" t="str">
        <f t="shared" si="5"/>
        <v/>
      </c>
      <c r="H103" s="324"/>
      <c r="I103" s="324"/>
      <c r="J103" s="324"/>
      <c r="K103" s="324"/>
      <c r="L103" s="233"/>
      <c r="M103" s="233"/>
      <c r="N103" s="230"/>
      <c r="O103" s="324"/>
      <c r="P103" s="324"/>
      <c r="Q103" s="324"/>
      <c r="R103" s="324"/>
      <c r="S103" s="324"/>
      <c r="T103" s="324"/>
      <c r="U103" s="324"/>
      <c r="V103" s="324"/>
      <c r="W103" s="324"/>
      <c r="X103" s="324"/>
      <c r="Y103" s="324"/>
      <c r="Z103" s="324"/>
      <c r="AA103" s="324"/>
      <c r="AB103" s="324"/>
      <c r="AC103" s="324"/>
      <c r="AD103" s="324"/>
    </row>
    <row r="104" spans="1:30" s="7" customFormat="1">
      <c r="A104" s="133"/>
      <c r="B104" s="188"/>
      <c r="C104" s="188"/>
      <c r="D104" s="139"/>
      <c r="E104" s="5" t="str">
        <f t="shared" si="3"/>
        <v/>
      </c>
      <c r="F104" s="127" t="str">
        <f t="shared" si="4"/>
        <v/>
      </c>
      <c r="G104" s="146" t="str">
        <f t="shared" si="5"/>
        <v/>
      </c>
      <c r="H104" s="324"/>
      <c r="I104" s="324"/>
      <c r="J104" s="324"/>
      <c r="K104" s="324"/>
      <c r="L104" s="233"/>
      <c r="M104" s="233"/>
      <c r="N104" s="230"/>
      <c r="O104" s="324"/>
      <c r="P104" s="324"/>
      <c r="Q104" s="324"/>
      <c r="R104" s="324"/>
      <c r="S104" s="324"/>
      <c r="T104" s="324"/>
      <c r="U104" s="324"/>
      <c r="V104" s="324"/>
      <c r="W104" s="324"/>
      <c r="X104" s="324"/>
      <c r="Y104" s="324"/>
      <c r="Z104" s="324"/>
      <c r="AA104" s="324"/>
      <c r="AB104" s="324"/>
      <c r="AC104" s="324"/>
      <c r="AD104" s="324"/>
    </row>
    <row r="105" spans="1:30" s="7" customFormat="1" ht="13.5" thickBot="1">
      <c r="A105" s="185"/>
      <c r="B105" s="190"/>
      <c r="C105" s="190"/>
      <c r="D105" s="184"/>
      <c r="E105" s="186" t="str">
        <f t="shared" si="3"/>
        <v/>
      </c>
      <c r="F105" s="148" t="str">
        <f t="shared" si="4"/>
        <v/>
      </c>
      <c r="G105" s="150" t="str">
        <f t="shared" si="5"/>
        <v/>
      </c>
      <c r="H105" s="324"/>
      <c r="I105" s="324"/>
      <c r="J105" s="324"/>
      <c r="K105" s="324"/>
      <c r="L105" s="233"/>
      <c r="M105" s="233"/>
      <c r="N105" s="230"/>
      <c r="O105" s="324"/>
      <c r="P105" s="324"/>
      <c r="Q105" s="324"/>
      <c r="R105" s="324"/>
      <c r="S105" s="324"/>
      <c r="T105" s="324"/>
      <c r="U105" s="324"/>
      <c r="V105" s="324"/>
      <c r="W105" s="324"/>
      <c r="X105" s="324"/>
      <c r="Y105" s="324"/>
      <c r="Z105" s="324"/>
      <c r="AA105" s="324"/>
      <c r="AB105" s="324"/>
      <c r="AC105" s="324"/>
      <c r="AD105" s="324"/>
    </row>
    <row r="106" spans="1:30" s="7" customFormat="1" ht="13.5" thickBot="1">
      <c r="A106" s="167" t="s">
        <v>470</v>
      </c>
      <c r="B106" s="58"/>
      <c r="C106" s="58"/>
      <c r="D106" s="192"/>
      <c r="E106" s="59">
        <f>SUM(E58:E105)</f>
        <v>0</v>
      </c>
      <c r="F106" s="149">
        <f>SUM(F58:F105)</f>
        <v>0</v>
      </c>
      <c r="G106" s="144">
        <f>SUM(G58:G105)</f>
        <v>0</v>
      </c>
      <c r="H106" s="324"/>
      <c r="I106" s="324"/>
      <c r="J106" s="324"/>
      <c r="K106" s="324"/>
      <c r="L106" s="233"/>
      <c r="M106" s="233"/>
      <c r="N106" s="230"/>
      <c r="O106" s="324"/>
      <c r="P106" s="324"/>
      <c r="Q106" s="324"/>
      <c r="R106" s="324"/>
      <c r="S106" s="324"/>
      <c r="T106" s="324"/>
      <c r="U106" s="324"/>
      <c r="V106" s="324"/>
      <c r="W106" s="324"/>
      <c r="X106" s="324"/>
      <c r="Y106" s="324"/>
      <c r="Z106" s="324"/>
      <c r="AA106" s="324"/>
      <c r="AB106" s="324"/>
      <c r="AC106" s="324"/>
      <c r="AD106" s="324"/>
    </row>
    <row r="107" spans="1:30" s="7" customFormat="1">
      <c r="A107" s="10"/>
      <c r="B107" s="10"/>
      <c r="C107" s="10"/>
      <c r="D107" s="78"/>
      <c r="E107" s="78"/>
      <c r="F107" s="78"/>
      <c r="G107" s="78"/>
      <c r="H107" s="324"/>
      <c r="I107" s="324"/>
      <c r="J107" s="324"/>
      <c r="K107" s="324"/>
      <c r="L107" s="233"/>
      <c r="M107" s="233"/>
      <c r="N107" s="230"/>
      <c r="O107" s="324"/>
      <c r="P107" s="324"/>
      <c r="Q107" s="324"/>
      <c r="R107" s="324"/>
      <c r="S107" s="324"/>
      <c r="T107" s="324"/>
      <c r="U107" s="324"/>
      <c r="V107" s="324"/>
      <c r="W107" s="324"/>
      <c r="X107" s="324"/>
      <c r="Y107" s="324"/>
      <c r="Z107" s="324"/>
      <c r="AA107" s="324"/>
      <c r="AB107" s="324"/>
      <c r="AC107" s="324"/>
      <c r="AD107" s="324"/>
    </row>
    <row r="108" spans="1:30" s="7" customFormat="1">
      <c r="A108" s="361" t="s">
        <v>377</v>
      </c>
      <c r="B108" s="321"/>
      <c r="C108" s="321"/>
      <c r="D108" s="321"/>
      <c r="E108" s="321"/>
      <c r="F108" s="321"/>
      <c r="G108" s="321"/>
      <c r="H108" s="324"/>
      <c r="I108" s="324"/>
      <c r="J108" s="324"/>
      <c r="K108" s="324"/>
      <c r="L108" s="233"/>
      <c r="M108" s="233"/>
      <c r="N108" s="230"/>
      <c r="O108" s="324"/>
      <c r="P108" s="324"/>
      <c r="Q108" s="324"/>
      <c r="R108" s="324"/>
      <c r="S108" s="324"/>
      <c r="T108" s="324"/>
      <c r="U108" s="324"/>
      <c r="V108" s="324"/>
      <c r="W108" s="324"/>
      <c r="X108" s="324"/>
      <c r="Y108" s="324"/>
      <c r="Z108" s="324"/>
      <c r="AA108" s="324"/>
      <c r="AB108" s="324"/>
      <c r="AC108" s="324"/>
      <c r="AD108" s="324"/>
    </row>
    <row r="109" spans="1:30" s="7" customFormat="1">
      <c r="A109" s="324"/>
      <c r="B109" s="324"/>
      <c r="C109" s="324"/>
      <c r="D109" s="324"/>
      <c r="E109" s="324"/>
      <c r="F109" s="324"/>
      <c r="G109" s="324"/>
      <c r="H109" s="324"/>
      <c r="I109" s="324"/>
      <c r="J109" s="324"/>
      <c r="K109" s="324"/>
      <c r="L109" s="233"/>
      <c r="M109" s="233"/>
      <c r="N109" s="230"/>
      <c r="O109" s="324"/>
      <c r="P109" s="324"/>
      <c r="Q109" s="324"/>
      <c r="R109" s="324"/>
      <c r="S109" s="324"/>
      <c r="T109" s="324"/>
      <c r="U109" s="324"/>
      <c r="V109" s="324"/>
      <c r="W109" s="324"/>
      <c r="X109" s="324"/>
      <c r="Y109" s="324"/>
      <c r="Z109" s="324"/>
      <c r="AA109" s="324"/>
      <c r="AB109" s="324"/>
      <c r="AC109" s="324"/>
      <c r="AD109" s="324"/>
    </row>
    <row r="110" spans="1:30" s="7" customFormat="1" ht="15" thickBot="1">
      <c r="A110" s="13" t="s">
        <v>360</v>
      </c>
      <c r="B110" s="78"/>
      <c r="C110" s="78"/>
      <c r="D110" s="78"/>
      <c r="E110" s="78"/>
      <c r="F110" s="78"/>
      <c r="G110" s="78"/>
      <c r="H110" s="324"/>
      <c r="I110" s="324"/>
      <c r="J110" s="324"/>
      <c r="K110" s="324"/>
      <c r="L110" s="324"/>
      <c r="M110" s="233"/>
      <c r="N110" s="230"/>
      <c r="O110" s="324"/>
      <c r="P110" s="324"/>
      <c r="Q110" s="324"/>
      <c r="R110" s="324"/>
      <c r="S110" s="324"/>
      <c r="T110" s="324"/>
      <c r="U110" s="324"/>
      <c r="V110" s="324"/>
      <c r="W110" s="324"/>
      <c r="X110" s="324"/>
      <c r="Y110" s="324"/>
      <c r="Z110" s="324"/>
      <c r="AA110" s="324"/>
      <c r="AB110" s="324"/>
      <c r="AC110" s="324"/>
      <c r="AD110" s="324"/>
    </row>
    <row r="111" spans="1:30" s="7" customFormat="1" ht="15" thickBot="1">
      <c r="A111" s="1260" t="s">
        <v>343</v>
      </c>
      <c r="B111" s="1261"/>
      <c r="C111" s="21" t="s">
        <v>344</v>
      </c>
      <c r="D111" s="21" t="s">
        <v>345</v>
      </c>
      <c r="E111" s="22" t="s">
        <v>307</v>
      </c>
      <c r="F111" s="78"/>
      <c r="G111" s="78"/>
      <c r="H111" s="324"/>
      <c r="I111" s="324"/>
      <c r="J111" s="324"/>
      <c r="K111" s="324"/>
      <c r="L111" s="324"/>
      <c r="M111" s="233"/>
      <c r="N111" s="230"/>
      <c r="O111" s="324"/>
      <c r="P111" s="324"/>
      <c r="Q111" s="324"/>
      <c r="R111" s="324"/>
      <c r="S111" s="324"/>
      <c r="T111" s="324"/>
      <c r="U111" s="324"/>
      <c r="V111" s="324"/>
      <c r="W111" s="324"/>
      <c r="X111" s="324"/>
      <c r="Y111" s="324"/>
      <c r="Z111" s="324"/>
      <c r="AA111" s="324"/>
      <c r="AB111" s="324"/>
      <c r="AC111" s="324"/>
      <c r="AD111" s="324"/>
    </row>
    <row r="112" spans="1:30" s="7" customFormat="1">
      <c r="A112" s="1262" t="s">
        <v>3</v>
      </c>
      <c r="B112" s="1263"/>
      <c r="C112" s="76">
        <f t="shared" ref="C112:E114" si="6">SUMIF($C$15:$C$52,$A112,E$15:E$52)</f>
        <v>0</v>
      </c>
      <c r="D112" s="76">
        <f t="shared" si="6"/>
        <v>0</v>
      </c>
      <c r="E112" s="76">
        <f t="shared" si="6"/>
        <v>0</v>
      </c>
      <c r="F112" s="78"/>
      <c r="G112" s="78"/>
      <c r="H112" s="324"/>
      <c r="I112" s="324"/>
      <c r="J112" s="324"/>
      <c r="K112" s="324"/>
      <c r="L112" s="324"/>
      <c r="M112" s="233"/>
      <c r="N112" s="230"/>
      <c r="O112" s="324"/>
      <c r="P112" s="324"/>
      <c r="Q112" s="324"/>
      <c r="R112" s="324"/>
      <c r="S112" s="324"/>
      <c r="T112" s="324"/>
      <c r="U112" s="324"/>
      <c r="V112" s="324"/>
      <c r="W112" s="324"/>
      <c r="X112" s="324"/>
      <c r="Y112" s="324"/>
      <c r="Z112" s="324"/>
      <c r="AA112" s="324"/>
      <c r="AB112" s="324"/>
      <c r="AC112" s="324"/>
      <c r="AD112" s="324"/>
    </row>
    <row r="113" spans="1:30" s="7" customFormat="1">
      <c r="A113" s="1256" t="s">
        <v>4</v>
      </c>
      <c r="B113" s="1257"/>
      <c r="C113" s="80">
        <f t="shared" si="6"/>
        <v>0</v>
      </c>
      <c r="D113" s="80">
        <f t="shared" si="6"/>
        <v>0</v>
      </c>
      <c r="E113" s="80">
        <f t="shared" si="6"/>
        <v>0</v>
      </c>
      <c r="F113" s="78"/>
      <c r="G113" s="78"/>
      <c r="H113" s="324"/>
      <c r="I113" s="324"/>
      <c r="J113" s="324"/>
      <c r="K113" s="324"/>
      <c r="L113" s="324"/>
      <c r="M113" s="233"/>
      <c r="N113" s="230"/>
      <c r="O113" s="324"/>
      <c r="P113" s="324"/>
      <c r="Q113" s="324"/>
      <c r="R113" s="324"/>
      <c r="S113" s="324"/>
      <c r="T113" s="324"/>
      <c r="U113" s="324"/>
      <c r="V113" s="324"/>
      <c r="W113" s="324"/>
      <c r="X113" s="324"/>
      <c r="Y113" s="324"/>
      <c r="Z113" s="324"/>
      <c r="AA113" s="324"/>
      <c r="AB113" s="324"/>
      <c r="AC113" s="324"/>
      <c r="AD113" s="324"/>
    </row>
    <row r="114" spans="1:30" s="7" customFormat="1">
      <c r="A114" s="1256" t="s">
        <v>5</v>
      </c>
      <c r="B114" s="1257"/>
      <c r="C114" s="80">
        <f t="shared" si="6"/>
        <v>0</v>
      </c>
      <c r="D114" s="80">
        <f t="shared" si="6"/>
        <v>0</v>
      </c>
      <c r="E114" s="80">
        <f t="shared" si="6"/>
        <v>0</v>
      </c>
      <c r="F114" s="78"/>
      <c r="G114" s="78"/>
      <c r="H114" s="324"/>
      <c r="I114" s="324"/>
      <c r="J114" s="324"/>
      <c r="K114" s="324"/>
      <c r="L114" s="324"/>
      <c r="M114" s="233"/>
      <c r="N114" s="230"/>
      <c r="O114" s="324"/>
      <c r="P114" s="324"/>
      <c r="Q114" s="324"/>
      <c r="R114" s="324"/>
      <c r="S114" s="324"/>
      <c r="T114" s="324"/>
      <c r="U114" s="324"/>
      <c r="V114" s="324"/>
      <c r="W114" s="324"/>
      <c r="X114" s="324"/>
      <c r="Y114" s="324"/>
      <c r="Z114" s="324"/>
      <c r="AA114" s="324"/>
      <c r="AB114" s="324"/>
      <c r="AC114" s="324"/>
      <c r="AD114" s="324"/>
    </row>
    <row r="115" spans="1:30" s="7" customFormat="1">
      <c r="A115" s="1256" t="s">
        <v>242</v>
      </c>
      <c r="B115" s="1257"/>
      <c r="C115" s="80">
        <f>SUMIF($C$58:$C$105,$A115,E$58:E$105)</f>
        <v>0</v>
      </c>
      <c r="D115" s="80">
        <f>SUMIF($C$58:$C$105,$A115,F$58:F$105)</f>
        <v>0</v>
      </c>
      <c r="E115" s="562">
        <f t="shared" ref="D115:E117" si="7">SUMIF($C$58:$C$105,$A115,G$58:G$105)</f>
        <v>0</v>
      </c>
      <c r="F115" s="78"/>
      <c r="G115" s="78"/>
      <c r="H115" s="324"/>
      <c r="I115" s="324"/>
      <c r="J115" s="324"/>
      <c r="K115" s="324"/>
      <c r="L115" s="324"/>
      <c r="M115" s="233"/>
      <c r="N115" s="230"/>
      <c r="O115" s="324"/>
      <c r="P115" s="324"/>
      <c r="Q115" s="324"/>
      <c r="R115" s="324"/>
      <c r="S115" s="324"/>
      <c r="T115" s="324"/>
      <c r="U115" s="324"/>
      <c r="V115" s="324"/>
      <c r="W115" s="324"/>
      <c r="X115" s="324"/>
      <c r="Y115" s="324"/>
      <c r="Z115" s="324"/>
      <c r="AA115" s="324"/>
      <c r="AB115" s="324"/>
      <c r="AC115" s="324"/>
      <c r="AD115" s="324"/>
    </row>
    <row r="116" spans="1:30" s="7" customFormat="1">
      <c r="A116" s="1256" t="s">
        <v>243</v>
      </c>
      <c r="B116" s="1257"/>
      <c r="C116" s="80">
        <f>SUMIF($C$58:$C$105,$A116,E$58:E$105)</f>
        <v>0</v>
      </c>
      <c r="D116" s="80">
        <f t="shared" si="7"/>
        <v>0</v>
      </c>
      <c r="E116" s="562">
        <f t="shared" si="7"/>
        <v>0</v>
      </c>
      <c r="F116" s="78"/>
      <c r="G116" s="78"/>
      <c r="H116" s="324"/>
      <c r="I116" s="324"/>
      <c r="J116" s="324"/>
      <c r="K116" s="324"/>
      <c r="L116" s="324"/>
      <c r="M116" s="233"/>
      <c r="N116" s="230"/>
      <c r="O116" s="324"/>
      <c r="P116" s="324"/>
      <c r="Q116" s="324"/>
      <c r="R116" s="324"/>
      <c r="S116" s="324"/>
      <c r="T116" s="324"/>
      <c r="U116" s="324"/>
      <c r="V116" s="324"/>
      <c r="W116" s="324"/>
      <c r="X116" s="324"/>
      <c r="Y116" s="324"/>
      <c r="Z116" s="324"/>
      <c r="AA116" s="324"/>
      <c r="AB116" s="324"/>
      <c r="AC116" s="324"/>
      <c r="AD116" s="324"/>
    </row>
    <row r="117" spans="1:30" s="7" customFormat="1">
      <c r="A117" s="1256" t="s">
        <v>244</v>
      </c>
      <c r="B117" s="1257"/>
      <c r="C117" s="80">
        <f>SUMIF($C$58:$C$105,$A117,E$58:E$105)</f>
        <v>0</v>
      </c>
      <c r="D117" s="80">
        <f t="shared" si="7"/>
        <v>0</v>
      </c>
      <c r="E117" s="562">
        <f t="shared" si="7"/>
        <v>0</v>
      </c>
      <c r="F117" s="78"/>
      <c r="G117" s="78"/>
      <c r="H117" s="324"/>
      <c r="I117" s="324"/>
      <c r="J117" s="324"/>
      <c r="K117" s="324"/>
      <c r="L117" s="324"/>
      <c r="M117" s="233"/>
      <c r="N117" s="230"/>
      <c r="O117" s="324"/>
      <c r="P117" s="324"/>
      <c r="Q117" s="324"/>
      <c r="R117" s="324"/>
      <c r="S117" s="324"/>
      <c r="T117" s="324"/>
      <c r="U117" s="324"/>
      <c r="V117" s="324"/>
      <c r="W117" s="324"/>
      <c r="X117" s="324"/>
      <c r="Y117" s="324"/>
      <c r="Z117" s="324"/>
      <c r="AA117" s="324"/>
      <c r="AB117" s="324"/>
      <c r="AC117" s="324"/>
      <c r="AD117" s="324"/>
    </row>
    <row r="118" spans="1:30" s="7" customFormat="1" ht="13.5" thickBot="1">
      <c r="A118" s="1258" t="s">
        <v>318</v>
      </c>
      <c r="B118" s="1259"/>
      <c r="C118" s="84">
        <f>SUMIF($C$58:$C$105,$A118,E$58:E$105)</f>
        <v>0</v>
      </c>
      <c r="D118" s="84">
        <f>SUMIF($C$58:$C$105,$A118,F$58:F$105)</f>
        <v>0</v>
      </c>
      <c r="E118" s="563">
        <f>SUMIF($C$58:$C$105,$A118,G$58:G$105)</f>
        <v>0</v>
      </c>
      <c r="F118" s="78"/>
      <c r="G118" s="78"/>
      <c r="H118" s="324"/>
      <c r="I118" s="324"/>
      <c r="J118" s="324"/>
      <c r="K118" s="324"/>
      <c r="L118" s="324"/>
      <c r="M118" s="233"/>
      <c r="N118" s="230"/>
      <c r="O118" s="324"/>
      <c r="P118" s="324"/>
      <c r="Q118" s="324"/>
      <c r="R118" s="324"/>
      <c r="S118" s="324"/>
      <c r="T118" s="324"/>
      <c r="U118" s="324"/>
      <c r="V118" s="324"/>
      <c r="W118" s="324"/>
      <c r="X118" s="324"/>
      <c r="Y118" s="324"/>
      <c r="Z118" s="324"/>
      <c r="AA118" s="324"/>
      <c r="AB118" s="324"/>
      <c r="AC118" s="324"/>
      <c r="AD118" s="324"/>
    </row>
    <row r="119" spans="1:30" s="7" customFormat="1" ht="13.5" thickBot="1">
      <c r="A119" s="78"/>
      <c r="B119" s="78"/>
      <c r="C119" s="78"/>
      <c r="D119" s="78"/>
      <c r="E119" s="78"/>
      <c r="F119" s="78"/>
      <c r="G119" s="78"/>
      <c r="H119" s="324"/>
      <c r="I119" s="324"/>
      <c r="J119" s="324"/>
      <c r="K119" s="324"/>
      <c r="L119" s="233"/>
      <c r="M119" s="233"/>
      <c r="N119" s="230"/>
      <c r="O119" s="324"/>
      <c r="P119" s="324"/>
      <c r="Q119" s="324"/>
      <c r="R119" s="324"/>
      <c r="S119" s="324"/>
      <c r="T119" s="324"/>
      <c r="U119" s="324"/>
      <c r="V119" s="324"/>
      <c r="W119" s="324"/>
      <c r="X119" s="324"/>
      <c r="Y119" s="324"/>
      <c r="Z119" s="324"/>
      <c r="AA119" s="324"/>
      <c r="AB119" s="324"/>
      <c r="AC119" s="324"/>
      <c r="AD119" s="324"/>
    </row>
    <row r="120" spans="1:30">
      <c r="A120" s="52"/>
      <c r="B120" s="53"/>
      <c r="C120" s="53"/>
      <c r="D120" s="178"/>
      <c r="E120" s="10"/>
      <c r="F120" s="10"/>
      <c r="G120" s="10"/>
      <c r="H120" s="230"/>
      <c r="I120" s="230"/>
      <c r="J120" s="230"/>
      <c r="K120" s="230"/>
      <c r="L120" s="233"/>
      <c r="M120" s="233"/>
      <c r="N120" s="230"/>
      <c r="O120" s="230"/>
      <c r="P120" s="230"/>
      <c r="Q120" s="230"/>
      <c r="R120" s="230"/>
      <c r="S120" s="230"/>
      <c r="T120" s="230"/>
      <c r="U120" s="230"/>
      <c r="V120" s="230"/>
      <c r="W120" s="230"/>
      <c r="X120" s="230"/>
      <c r="Y120" s="230"/>
      <c r="Z120" s="230"/>
      <c r="AA120" s="230"/>
      <c r="AB120" s="230"/>
      <c r="AC120" s="230"/>
      <c r="AD120" s="230"/>
    </row>
    <row r="121" spans="1:30" ht="15" thickBot="1">
      <c r="A121" s="54" t="s">
        <v>564</v>
      </c>
      <c r="B121" s="55"/>
      <c r="C121" s="55"/>
      <c r="D121" s="226">
        <f>(SUM(C112:C118)+SUM(D112:D118)/1000*CH4_GWP+SUM(E112:E118)/1000*N2O_GWP)/1000</f>
        <v>0</v>
      </c>
      <c r="E121" s="10"/>
      <c r="F121" s="10"/>
      <c r="G121" s="10"/>
      <c r="H121" s="230"/>
      <c r="I121" s="230"/>
      <c r="J121" s="230"/>
      <c r="K121" s="230"/>
      <c r="L121" s="233"/>
      <c r="M121" s="233"/>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3"/>
      <c r="M122" s="233"/>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3"/>
      <c r="M123" s="233"/>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3"/>
      <c r="M124" s="233"/>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3"/>
      <c r="M125" s="233"/>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3"/>
      <c r="M126" s="233"/>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3"/>
      <c r="M127" s="233"/>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3"/>
      <c r="M128" s="233"/>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3"/>
      <c r="M129" s="233"/>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3"/>
      <c r="M130" s="233"/>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3"/>
      <c r="M131" s="233"/>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3"/>
      <c r="M132" s="233"/>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3"/>
      <c r="M133" s="233"/>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3"/>
      <c r="M134" s="233"/>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3"/>
      <c r="M135" s="233"/>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3"/>
      <c r="M136" s="233"/>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3"/>
      <c r="M137" s="233"/>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3"/>
      <c r="M138" s="233"/>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3"/>
      <c r="M139" s="233"/>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3"/>
      <c r="M140" s="233"/>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3"/>
      <c r="M141" s="233"/>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3"/>
      <c r="M142" s="233"/>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3"/>
      <c r="M143" s="233"/>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3"/>
      <c r="M144" s="233"/>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3"/>
      <c r="M145" s="233"/>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3"/>
      <c r="M146" s="233"/>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3"/>
      <c r="M147" s="233"/>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3"/>
      <c r="M148" s="233"/>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3"/>
      <c r="M149" s="233"/>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3"/>
      <c r="M150" s="233"/>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3"/>
      <c r="M151" s="233"/>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3"/>
      <c r="M152" s="233"/>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3"/>
      <c r="M153" s="233"/>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3"/>
      <c r="M154" s="233"/>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3"/>
      <c r="M155" s="233"/>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3"/>
      <c r="M156" s="233"/>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3"/>
      <c r="M157" s="233"/>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3"/>
      <c r="M158" s="233"/>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3"/>
      <c r="M159" s="233"/>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3"/>
      <c r="M160" s="233"/>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3"/>
      <c r="M161" s="233"/>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3"/>
      <c r="M162" s="233"/>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3"/>
      <c r="M163" s="233"/>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3"/>
      <c r="M164" s="233"/>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3"/>
      <c r="M165" s="233"/>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3"/>
      <c r="M166" s="233"/>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3"/>
      <c r="M167" s="233"/>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3"/>
      <c r="M168" s="233"/>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3"/>
      <c r="M169" s="233"/>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3"/>
      <c r="M170" s="233"/>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3"/>
      <c r="M171" s="233"/>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3"/>
      <c r="M172" s="233"/>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3"/>
      <c r="M173" s="233"/>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3"/>
      <c r="M174" s="233"/>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3"/>
      <c r="M175" s="233"/>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3"/>
      <c r="M176" s="233"/>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3"/>
      <c r="M177" s="233"/>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3"/>
      <c r="M178" s="233"/>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3"/>
      <c r="M179" s="233"/>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3"/>
      <c r="M180" s="233"/>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3"/>
      <c r="M181" s="233"/>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3"/>
      <c r="M182" s="233"/>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3"/>
      <c r="M183" s="233"/>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3"/>
      <c r="M184" s="233"/>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3"/>
      <c r="M185" s="233"/>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3"/>
      <c r="M186" s="233"/>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3"/>
      <c r="M187" s="233"/>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3"/>
      <c r="M188" s="233"/>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3"/>
      <c r="M189" s="233"/>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3"/>
      <c r="M190" s="233"/>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3"/>
      <c r="M191" s="233"/>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3"/>
      <c r="M192" s="233"/>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3"/>
      <c r="M193" s="233"/>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3"/>
      <c r="M194" s="233"/>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3"/>
      <c r="M195" s="233"/>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3"/>
      <c r="M196" s="233"/>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3"/>
      <c r="M197" s="233"/>
      <c r="N197" s="230"/>
      <c r="O197" s="230"/>
      <c r="P197" s="230"/>
      <c r="Q197" s="230"/>
      <c r="R197" s="230"/>
      <c r="S197" s="230"/>
      <c r="T197" s="230"/>
      <c r="U197" s="230"/>
      <c r="V197" s="230"/>
      <c r="W197" s="230"/>
      <c r="X197" s="230"/>
      <c r="Y197" s="230"/>
      <c r="Z197" s="230"/>
      <c r="AA197" s="230"/>
      <c r="AB197" s="230"/>
      <c r="AC197" s="230"/>
      <c r="AD197" s="230"/>
    </row>
  </sheetData>
  <sheetProtection sheet="1" objects="1" scenarios="1"/>
  <mergeCells count="8">
    <mergeCell ref="A117:B117"/>
    <mergeCell ref="A118:B118"/>
    <mergeCell ref="A111:B111"/>
    <mergeCell ref="A112:B112"/>
    <mergeCell ref="A113:B113"/>
    <mergeCell ref="A114:B114"/>
    <mergeCell ref="A115:B115"/>
    <mergeCell ref="A116:B116"/>
  </mergeCells>
  <dataValidations count="2">
    <dataValidation type="list" allowBlank="1" showInputMessage="1" showErrorMessage="1" sqref="C14:C52" xr:uid="{00000000-0002-0000-0C00-000000000000}">
      <formula1>BizTravel_Vehicle</formula1>
    </dataValidation>
    <dataValidation type="list" allowBlank="1" showInputMessage="1" showErrorMessage="1" sqref="C57:C105" xr:uid="{00000000-0002-0000-0C00-000001000000}">
      <formula1>BizTravel_PassMiles</formula1>
    </dataValidation>
  </dataValidations>
  <pageMargins left="0.25" right="0.25" top="0.25" bottom="0.5" header="0.5" footer="0.25"/>
  <pageSetup scale="83" orientation="portrait" r:id="rId1"/>
  <headerFooter alignWithMargins="0">
    <oddFooter>&amp;L&amp;"Arial,Italic"&amp;9EPA Climate Leaders Simplified GHG Emissions Calculator (Optional 1.0)&amp;R&amp;"Arial,Italic"&amp;9&amp;P of &amp;N</oddFooter>
  </headerFooter>
  <rowBreaks count="2" manualBreakCount="2">
    <brk id="53" max="16383" man="1"/>
    <brk id="121" max="16383" man="1"/>
  </rowBreaks>
  <colBreaks count="1" manualBreakCount="1">
    <brk id="8" max="1048575" man="1"/>
  </colBreaks>
  <drawing r:id="rId2"/>
  <legacyDrawing r:id="rId3"/>
  <controls>
    <mc:AlternateContent xmlns:mc="http://schemas.openxmlformats.org/markup-compatibility/2006">
      <mc:Choice Requires="x14">
        <control shapeId="29697" r:id="rId4" name="CommandButton1">
          <controlPr autoLine="0" r:id="rId5">
            <anchor>
              <from>
                <xdr:col>1</xdr:col>
                <xdr:colOff>9525</xdr:colOff>
                <xdr:row>0</xdr:row>
                <xdr:rowOff>142875</xdr:rowOff>
              </from>
              <to>
                <xdr:col>1</xdr:col>
                <xdr:colOff>923925</xdr:colOff>
                <xdr:row>1</xdr:row>
                <xdr:rowOff>142875</xdr:rowOff>
              </to>
            </anchor>
          </controlPr>
        </control>
      </mc:Choice>
      <mc:Fallback>
        <control shapeId="29697" r:id="rId4" name="CommandButton1"/>
      </mc:Fallback>
    </mc:AlternateContent>
    <mc:AlternateContent xmlns:mc="http://schemas.openxmlformats.org/markup-compatibility/2006">
      <mc:Choice Requires="x14">
        <control shapeId="29698" r:id="rId6" name="CommandButton2">
          <controlPr autoLine="0" r:id="rId7">
            <anchor>
              <from>
                <xdr:col>1</xdr:col>
                <xdr:colOff>1123950</xdr:colOff>
                <xdr:row>0</xdr:row>
                <xdr:rowOff>133350</xdr:rowOff>
              </from>
              <to>
                <xdr:col>2</xdr:col>
                <xdr:colOff>1219200</xdr:colOff>
                <xdr:row>1</xdr:row>
                <xdr:rowOff>133350</xdr:rowOff>
              </to>
            </anchor>
          </controlPr>
        </control>
      </mc:Choice>
      <mc:Fallback>
        <control shapeId="29698" r:id="rId6" name="CommandButton2"/>
      </mc:Fallback>
    </mc:AlternateContent>
    <mc:AlternateContent xmlns:mc="http://schemas.openxmlformats.org/markup-compatibility/2006">
      <mc:Choice Requires="x14">
        <control shapeId="29739" r:id="rId8" name="CommandButton3">
          <controlPr autoLine="0" r:id="rId9">
            <anchor moveWithCells="1">
              <from>
                <xdr:col>3</xdr:col>
                <xdr:colOff>666750</xdr:colOff>
                <xdr:row>0</xdr:row>
                <xdr:rowOff>142875</xdr:rowOff>
              </from>
              <to>
                <xdr:col>5</xdr:col>
                <xdr:colOff>19050</xdr:colOff>
                <xdr:row>1</xdr:row>
                <xdr:rowOff>133350</xdr:rowOff>
              </to>
            </anchor>
          </controlPr>
        </control>
      </mc:Choice>
      <mc:Fallback>
        <control shapeId="29739" r:id="rId8" name="CommandButton3"/>
      </mc:Fallback>
    </mc:AlternateContent>
  </control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1:AD201"/>
  <sheetViews>
    <sheetView zoomScaleNormal="100" workbookViewId="0">
      <pane ySplit="4" topLeftCell="A5" activePane="bottomLeft" state="frozen"/>
      <selection pane="bottomLeft"/>
    </sheetView>
  </sheetViews>
  <sheetFormatPr defaultRowHeight="12.75"/>
  <cols>
    <col min="1" max="1" width="11.7109375" customWidth="1"/>
    <col min="2" max="2" width="30.140625" bestFit="1" customWidth="1"/>
    <col min="3" max="3" width="29.28515625" customWidth="1"/>
    <col min="4" max="7" width="10.7109375" customWidth="1"/>
    <col min="8" max="12" width="9.28515625" customWidth="1"/>
    <col min="13" max="14" width="9.28515625" style="180" customWidth="1"/>
    <col min="17" max="18" width="13.7109375"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256" t="s">
        <v>1208</v>
      </c>
      <c r="B3" s="230"/>
      <c r="C3" s="230"/>
      <c r="D3" s="230"/>
      <c r="E3" s="230"/>
      <c r="F3" s="230"/>
      <c r="G3" s="230"/>
      <c r="H3" s="230"/>
      <c r="I3" s="230"/>
      <c r="J3" s="230"/>
      <c r="K3" s="230"/>
      <c r="L3" s="230"/>
      <c r="M3" s="233"/>
      <c r="N3" s="233"/>
      <c r="O3" s="230"/>
      <c r="P3" s="230"/>
      <c r="Q3" s="230"/>
      <c r="R3" s="230"/>
      <c r="S3" s="230"/>
      <c r="T3" s="230"/>
      <c r="U3" s="230"/>
      <c r="V3" s="230"/>
      <c r="W3" s="230"/>
      <c r="X3" s="230"/>
      <c r="Y3" s="230"/>
      <c r="Z3" s="230"/>
      <c r="AA3" s="230"/>
      <c r="AB3" s="230"/>
      <c r="AC3" s="230"/>
      <c r="AD3" s="230"/>
    </row>
    <row r="4" spans="1:30">
      <c r="A4" s="230"/>
      <c r="B4" s="230"/>
      <c r="C4" s="230"/>
      <c r="D4" s="230"/>
      <c r="E4" s="230"/>
      <c r="F4" s="230"/>
      <c r="G4" s="230"/>
      <c r="H4" s="230"/>
      <c r="I4" s="230"/>
      <c r="J4" s="230"/>
      <c r="K4" s="230"/>
      <c r="L4" s="230"/>
      <c r="M4" s="233"/>
      <c r="N4" s="233"/>
      <c r="O4" s="230"/>
      <c r="P4" s="230"/>
      <c r="Q4" s="230"/>
      <c r="R4" s="230"/>
      <c r="S4" s="230"/>
      <c r="T4" s="230"/>
      <c r="U4" s="230"/>
      <c r="V4" s="230"/>
      <c r="W4" s="230"/>
      <c r="X4" s="230"/>
      <c r="Y4" s="230"/>
      <c r="Z4" s="230"/>
      <c r="AA4" s="230"/>
      <c r="AB4" s="230"/>
      <c r="AC4" s="230"/>
      <c r="AD4" s="230"/>
    </row>
    <row r="5" spans="1:30">
      <c r="A5" s="229" t="s">
        <v>346</v>
      </c>
      <c r="B5" s="230"/>
      <c r="C5" s="230"/>
      <c r="D5" s="230"/>
      <c r="E5" s="230"/>
      <c r="F5" s="230"/>
      <c r="G5" s="230"/>
      <c r="H5" s="230"/>
      <c r="I5" s="230"/>
      <c r="J5" s="230"/>
      <c r="K5" s="230"/>
      <c r="L5" s="230"/>
      <c r="M5" s="233"/>
      <c r="N5" s="233"/>
      <c r="O5" s="230"/>
      <c r="P5" s="230"/>
      <c r="Q5" s="230"/>
      <c r="R5" s="230"/>
      <c r="S5" s="230"/>
      <c r="T5" s="230"/>
      <c r="U5" s="230"/>
      <c r="V5" s="230"/>
      <c r="W5" s="230"/>
      <c r="X5" s="230"/>
      <c r="Y5" s="230"/>
      <c r="Z5" s="230"/>
      <c r="AA5" s="230"/>
      <c r="AB5" s="230"/>
      <c r="AC5" s="230"/>
      <c r="AD5" s="230"/>
    </row>
    <row r="6" spans="1:30">
      <c r="A6" s="309" t="s">
        <v>786</v>
      </c>
      <c r="B6" s="230"/>
      <c r="C6" s="230"/>
      <c r="D6" s="230"/>
      <c r="E6" s="230"/>
      <c r="F6" s="230"/>
      <c r="G6" s="230"/>
      <c r="H6" s="230"/>
      <c r="I6" s="230"/>
      <c r="J6" s="230"/>
      <c r="K6" s="230"/>
      <c r="L6" s="230"/>
      <c r="M6" s="233"/>
      <c r="N6" s="233"/>
      <c r="O6" s="230"/>
      <c r="P6" s="230"/>
      <c r="Q6" s="230"/>
      <c r="R6" s="230"/>
      <c r="S6" s="230"/>
      <c r="T6" s="230"/>
      <c r="U6" s="230"/>
      <c r="V6" s="230"/>
      <c r="W6" s="230"/>
      <c r="X6" s="230"/>
      <c r="Y6" s="230"/>
      <c r="Z6" s="230"/>
      <c r="AA6" s="230"/>
      <c r="AB6" s="230"/>
      <c r="AC6" s="230"/>
      <c r="AD6" s="230"/>
    </row>
    <row r="7" spans="1:30">
      <c r="A7" s="309" t="s">
        <v>705</v>
      </c>
      <c r="B7" s="230"/>
      <c r="C7" s="230"/>
      <c r="D7" s="230"/>
      <c r="E7" s="230"/>
      <c r="F7" s="230"/>
      <c r="G7" s="230"/>
      <c r="H7" s="230"/>
      <c r="I7" s="230"/>
      <c r="J7" s="230"/>
      <c r="K7" s="230"/>
      <c r="L7" s="230"/>
      <c r="M7" s="233"/>
      <c r="N7" s="233"/>
      <c r="O7" s="230"/>
      <c r="P7" s="230"/>
      <c r="Q7" s="230"/>
      <c r="R7" s="230"/>
      <c r="S7" s="230"/>
      <c r="T7" s="230"/>
      <c r="U7" s="230"/>
      <c r="V7" s="230"/>
      <c r="W7" s="230"/>
      <c r="X7" s="230"/>
      <c r="Y7" s="230"/>
      <c r="Z7" s="230"/>
      <c r="AA7" s="230"/>
      <c r="AB7" s="230"/>
      <c r="AC7" s="230"/>
      <c r="AD7" s="230"/>
    </row>
    <row r="8" spans="1:30" ht="26.25" customHeight="1">
      <c r="A8" s="1264" t="s">
        <v>1131</v>
      </c>
      <c r="B8" s="1264"/>
      <c r="C8" s="1264"/>
      <c r="D8" s="1264"/>
      <c r="E8" s="1264"/>
      <c r="F8" s="1264"/>
      <c r="G8" s="1264"/>
      <c r="H8" s="230"/>
      <c r="I8" s="230"/>
      <c r="J8" s="230"/>
      <c r="K8" s="230"/>
      <c r="L8" s="230"/>
      <c r="M8" s="233"/>
      <c r="N8" s="233"/>
      <c r="O8" s="230"/>
      <c r="P8" s="230"/>
      <c r="Q8" s="230"/>
      <c r="R8" s="230"/>
      <c r="S8" s="230"/>
      <c r="T8" s="230"/>
      <c r="U8" s="230"/>
      <c r="V8" s="230"/>
      <c r="W8" s="230"/>
      <c r="X8" s="230"/>
      <c r="Y8" s="230"/>
      <c r="Z8" s="230"/>
      <c r="AA8" s="230"/>
      <c r="AB8" s="230"/>
      <c r="AC8" s="230"/>
      <c r="AD8" s="230"/>
    </row>
    <row r="9" spans="1:30" ht="39.75" customHeight="1">
      <c r="A9" s="1264" t="s">
        <v>1132</v>
      </c>
      <c r="B9" s="1264"/>
      <c r="C9" s="1264"/>
      <c r="D9" s="1264"/>
      <c r="E9" s="1264"/>
      <c r="F9" s="1264"/>
      <c r="G9" s="1264"/>
      <c r="H9" s="230"/>
      <c r="I9" s="230"/>
      <c r="J9" s="230"/>
      <c r="K9" s="230"/>
      <c r="L9" s="230"/>
      <c r="M9" s="233"/>
      <c r="N9" s="233"/>
      <c r="O9" s="230"/>
      <c r="P9" s="230"/>
      <c r="Q9" s="230"/>
      <c r="R9" s="230"/>
      <c r="S9" s="230"/>
      <c r="T9" s="230"/>
      <c r="U9" s="230"/>
      <c r="V9" s="230"/>
      <c r="W9" s="230"/>
      <c r="X9" s="230"/>
      <c r="Y9" s="230"/>
      <c r="Z9" s="230"/>
      <c r="AA9" s="230"/>
      <c r="AB9" s="230"/>
      <c r="AC9" s="230"/>
      <c r="AD9" s="230"/>
    </row>
    <row r="10" spans="1:30">
      <c r="A10" s="328" t="s">
        <v>350</v>
      </c>
      <c r="B10" s="308"/>
      <c r="C10" s="308"/>
      <c r="D10" s="308"/>
      <c r="E10" s="308"/>
      <c r="F10" s="308"/>
      <c r="G10" s="308"/>
      <c r="H10" s="230"/>
      <c r="I10" s="230"/>
      <c r="J10" s="230"/>
      <c r="K10" s="230"/>
      <c r="L10" s="230"/>
      <c r="M10" s="233"/>
      <c r="N10" s="233"/>
      <c r="O10" s="230"/>
      <c r="P10" s="230"/>
      <c r="Q10" s="230"/>
      <c r="R10" s="230"/>
      <c r="S10" s="230"/>
      <c r="T10" s="230"/>
      <c r="U10" s="230"/>
      <c r="V10" s="230"/>
      <c r="W10" s="230"/>
      <c r="X10" s="230"/>
      <c r="Y10" s="230"/>
      <c r="Z10" s="230"/>
      <c r="AA10" s="230"/>
      <c r="AB10" s="230"/>
      <c r="AC10" s="230"/>
      <c r="AD10" s="230"/>
    </row>
    <row r="11" spans="1:30">
      <c r="A11" s="283"/>
      <c r="B11" s="230"/>
      <c r="C11" s="230"/>
      <c r="D11" s="230"/>
      <c r="E11" s="230"/>
      <c r="F11" s="230"/>
      <c r="G11" s="230"/>
      <c r="H11" s="230"/>
      <c r="I11" s="230"/>
      <c r="J11" s="230"/>
      <c r="K11" s="230"/>
      <c r="L11" s="230"/>
      <c r="M11" s="233"/>
      <c r="N11" s="233"/>
      <c r="O11" s="230"/>
      <c r="P11" s="230"/>
      <c r="Q11" s="230"/>
      <c r="R11" s="230"/>
      <c r="S11" s="230"/>
      <c r="T11" s="230"/>
      <c r="U11" s="230"/>
      <c r="V11" s="230"/>
      <c r="W11" s="230"/>
      <c r="X11" s="230"/>
      <c r="Y11" s="230"/>
      <c r="Z11" s="230"/>
      <c r="AA11" s="230"/>
      <c r="AB11" s="230"/>
      <c r="AC11" s="230"/>
      <c r="AD11" s="230"/>
    </row>
    <row r="12" spans="1:30" ht="15" thickBot="1">
      <c r="A12" s="229" t="s">
        <v>471</v>
      </c>
      <c r="B12" s="230"/>
      <c r="C12" s="230"/>
      <c r="D12" s="230"/>
      <c r="E12" s="230"/>
      <c r="F12" s="230"/>
      <c r="G12" s="230"/>
      <c r="H12" s="230"/>
      <c r="I12" s="230"/>
      <c r="J12" s="230"/>
      <c r="K12" s="230"/>
      <c r="L12" s="230"/>
      <c r="M12" s="233"/>
      <c r="N12" s="233"/>
      <c r="O12" s="230"/>
      <c r="P12" s="230"/>
      <c r="Q12" s="230"/>
      <c r="R12" s="230"/>
      <c r="S12" s="230"/>
      <c r="T12" s="230"/>
      <c r="U12" s="230"/>
      <c r="V12" s="230"/>
      <c r="W12" s="230"/>
      <c r="X12" s="230"/>
      <c r="Y12" s="230"/>
      <c r="Z12" s="230"/>
      <c r="AA12" s="230"/>
      <c r="AB12" s="230"/>
      <c r="AC12" s="230"/>
      <c r="AD12" s="230"/>
    </row>
    <row r="13" spans="1:30" s="27" customFormat="1" ht="40.5" thickBot="1">
      <c r="A13" s="607" t="s">
        <v>337</v>
      </c>
      <c r="B13" s="608" t="s">
        <v>0</v>
      </c>
      <c r="C13" s="608" t="s">
        <v>145</v>
      </c>
      <c r="D13" s="274" t="s">
        <v>357</v>
      </c>
      <c r="E13" s="274" t="s">
        <v>338</v>
      </c>
      <c r="F13" s="274" t="s">
        <v>339</v>
      </c>
      <c r="G13" s="275" t="s">
        <v>340</v>
      </c>
      <c r="H13" s="324"/>
      <c r="I13" s="473"/>
      <c r="J13" s="324"/>
      <c r="K13" s="324"/>
      <c r="L13" s="324"/>
      <c r="M13" s="477"/>
      <c r="N13" s="477"/>
      <c r="O13" s="324"/>
      <c r="P13" s="324"/>
      <c r="Q13" s="324"/>
      <c r="R13" s="324"/>
      <c r="S13" s="324"/>
      <c r="T13" s="324"/>
      <c r="U13" s="324"/>
      <c r="V13" s="324"/>
      <c r="W13" s="324"/>
      <c r="X13" s="324"/>
      <c r="Y13" s="324"/>
      <c r="Z13" s="324"/>
      <c r="AA13" s="324"/>
      <c r="AB13" s="324"/>
      <c r="AC13" s="324"/>
      <c r="AD13" s="324"/>
    </row>
    <row r="14" spans="1:30" s="27" customFormat="1">
      <c r="A14" s="664" t="s">
        <v>19</v>
      </c>
      <c r="B14" s="665" t="s">
        <v>319</v>
      </c>
      <c r="C14" s="665" t="s">
        <v>462</v>
      </c>
      <c r="D14" s="666">
        <v>100</v>
      </c>
      <c r="E14" s="666">
        <f t="shared" ref="E14:E52" si="0">IF($C14="","",VLOOKUP($C14,Prod_Trans_Fctrs,2,FALSE)*$D14)</f>
        <v>138.69999999999999</v>
      </c>
      <c r="F14" s="667">
        <f t="shared" ref="F14:F52" si="1">IF($C14="","",VLOOKUP($C14,Prod_Trans_Fctrs,3,FALSE)*$D14)</f>
        <v>1.3</v>
      </c>
      <c r="G14" s="668">
        <f t="shared" ref="G14:G52" si="2">IF($C14="","",VLOOKUP($C14,Prod_Trans_Fctrs,4,FALSE)*$D14)</f>
        <v>3.3000000000000003</v>
      </c>
      <c r="H14" s="324"/>
      <c r="I14" s="481"/>
      <c r="J14" s="324"/>
      <c r="K14" s="324"/>
      <c r="L14" s="324"/>
      <c r="M14" s="477"/>
      <c r="N14" s="477"/>
      <c r="O14" s="324"/>
      <c r="P14" s="324"/>
      <c r="Q14" s="324"/>
      <c r="R14" s="324"/>
      <c r="S14" s="324"/>
      <c r="T14" s="324"/>
      <c r="U14" s="324"/>
      <c r="V14" s="324"/>
      <c r="W14" s="324"/>
      <c r="X14" s="324"/>
      <c r="Y14" s="324"/>
      <c r="Z14" s="324"/>
      <c r="AA14" s="324"/>
      <c r="AB14" s="324"/>
      <c r="AC14" s="324"/>
      <c r="AD14" s="324"/>
    </row>
    <row r="15" spans="1:30" s="27" customFormat="1">
      <c r="A15" s="250"/>
      <c r="B15" s="251"/>
      <c r="C15" s="251"/>
      <c r="D15" s="252"/>
      <c r="E15" s="566" t="str">
        <f t="shared" si="0"/>
        <v/>
      </c>
      <c r="F15" s="523" t="str">
        <f t="shared" si="1"/>
        <v/>
      </c>
      <c r="G15" s="565" t="str">
        <f t="shared" si="2"/>
        <v/>
      </c>
      <c r="H15" s="324"/>
      <c r="I15" s="481"/>
      <c r="J15" s="324"/>
      <c r="K15" s="324"/>
      <c r="L15" s="324"/>
      <c r="M15" s="478"/>
      <c r="N15" s="479"/>
      <c r="O15" s="324"/>
      <c r="P15" s="324"/>
      <c r="Q15" s="324"/>
      <c r="R15" s="324"/>
      <c r="S15" s="324"/>
      <c r="T15" s="324"/>
      <c r="U15" s="324"/>
      <c r="V15" s="324"/>
      <c r="W15" s="324"/>
      <c r="X15" s="324"/>
      <c r="Y15" s="324"/>
      <c r="Z15" s="324"/>
      <c r="AA15" s="324"/>
      <c r="AB15" s="324"/>
      <c r="AC15" s="324"/>
      <c r="AD15" s="324"/>
    </row>
    <row r="16" spans="1:30" s="27" customFormat="1">
      <c r="A16" s="98"/>
      <c r="B16" s="38"/>
      <c r="C16" s="531"/>
      <c r="D16" s="107"/>
      <c r="E16" s="532" t="str">
        <f t="shared" si="0"/>
        <v/>
      </c>
      <c r="F16" s="533" t="str">
        <f t="shared" si="1"/>
        <v/>
      </c>
      <c r="G16" s="534" t="str">
        <f t="shared" si="2"/>
        <v/>
      </c>
      <c r="H16" s="324"/>
      <c r="I16" s="481"/>
      <c r="J16" s="324"/>
      <c r="K16" s="324"/>
      <c r="L16" s="324"/>
      <c r="M16" s="478"/>
      <c r="N16" s="479"/>
      <c r="O16" s="324"/>
      <c r="P16" s="324"/>
      <c r="Q16" s="324"/>
      <c r="R16" s="324"/>
      <c r="S16" s="324"/>
      <c r="T16" s="324"/>
      <c r="U16" s="324"/>
      <c r="V16" s="324"/>
      <c r="W16" s="324"/>
      <c r="X16" s="324"/>
      <c r="Y16" s="324"/>
      <c r="Z16" s="324"/>
      <c r="AA16" s="324"/>
      <c r="AB16" s="324"/>
      <c r="AC16" s="324"/>
      <c r="AD16" s="324"/>
    </row>
    <row r="17" spans="1:30" s="27" customFormat="1">
      <c r="A17" s="98"/>
      <c r="B17" s="38"/>
      <c r="C17" s="38"/>
      <c r="D17" s="107"/>
      <c r="E17" s="532" t="str">
        <f t="shared" si="0"/>
        <v/>
      </c>
      <c r="F17" s="533" t="str">
        <f t="shared" si="1"/>
        <v/>
      </c>
      <c r="G17" s="519" t="str">
        <f t="shared" si="2"/>
        <v/>
      </c>
      <c r="H17" s="324"/>
      <c r="I17" s="324"/>
      <c r="J17" s="324"/>
      <c r="K17" s="324"/>
      <c r="L17" s="324"/>
      <c r="M17" s="478"/>
      <c r="N17" s="479"/>
      <c r="O17" s="324"/>
      <c r="P17" s="324"/>
      <c r="Q17" s="324"/>
      <c r="R17" s="324"/>
      <c r="S17" s="324"/>
      <c r="T17" s="324"/>
      <c r="U17" s="324"/>
      <c r="V17" s="324"/>
      <c r="W17" s="324"/>
      <c r="X17" s="324"/>
      <c r="Y17" s="324"/>
      <c r="Z17" s="324"/>
      <c r="AA17" s="324"/>
      <c r="AB17" s="324"/>
      <c r="AC17" s="324"/>
      <c r="AD17" s="324"/>
    </row>
    <row r="18" spans="1:30" s="27" customFormat="1" hidden="1">
      <c r="A18" s="98"/>
      <c r="B18" s="38"/>
      <c r="C18" s="38"/>
      <c r="D18" s="107"/>
      <c r="E18" s="532" t="str">
        <f t="shared" si="0"/>
        <v/>
      </c>
      <c r="F18" s="533" t="str">
        <f t="shared" si="1"/>
        <v/>
      </c>
      <c r="G18" s="519" t="str">
        <f t="shared" si="2"/>
        <v/>
      </c>
      <c r="H18" s="324"/>
      <c r="I18" s="324"/>
      <c r="J18" s="324"/>
      <c r="K18" s="324"/>
      <c r="L18" s="324"/>
      <c r="M18" s="478"/>
      <c r="N18" s="479"/>
      <c r="O18" s="324"/>
      <c r="P18" s="324"/>
      <c r="Q18" s="324"/>
      <c r="R18" s="324"/>
      <c r="S18" s="324"/>
      <c r="T18" s="324"/>
      <c r="U18" s="324"/>
      <c r="V18" s="324"/>
      <c r="W18" s="324"/>
      <c r="X18" s="324"/>
      <c r="Y18" s="324"/>
      <c r="Z18" s="324"/>
      <c r="AA18" s="324"/>
      <c r="AB18" s="324"/>
      <c r="AC18" s="324"/>
      <c r="AD18" s="324"/>
    </row>
    <row r="19" spans="1:30" s="27" customFormat="1">
      <c r="A19" s="98"/>
      <c r="B19" s="38"/>
      <c r="C19" s="38"/>
      <c r="D19" s="107"/>
      <c r="E19" s="532" t="str">
        <f t="shared" si="0"/>
        <v/>
      </c>
      <c r="F19" s="533" t="str">
        <f t="shared" si="1"/>
        <v/>
      </c>
      <c r="G19" s="519" t="str">
        <f t="shared" si="2"/>
        <v/>
      </c>
      <c r="H19" s="324"/>
      <c r="I19" s="324"/>
      <c r="J19" s="324"/>
      <c r="K19" s="324"/>
      <c r="L19" s="324"/>
      <c r="M19" s="478"/>
      <c r="N19" s="479"/>
      <c r="O19" s="324"/>
      <c r="P19" s="324"/>
      <c r="Q19" s="324"/>
      <c r="R19" s="324"/>
      <c r="S19" s="324"/>
      <c r="T19" s="324"/>
      <c r="U19" s="324"/>
      <c r="V19" s="324"/>
      <c r="W19" s="324"/>
      <c r="X19" s="324"/>
      <c r="Y19" s="324"/>
      <c r="Z19" s="324"/>
      <c r="AA19" s="324"/>
      <c r="AB19" s="324"/>
      <c r="AC19" s="324"/>
      <c r="AD19" s="324"/>
    </row>
    <row r="20" spans="1:30" s="27" customFormat="1">
      <c r="A20" s="98"/>
      <c r="B20" s="38"/>
      <c r="C20" s="38"/>
      <c r="D20" s="107"/>
      <c r="E20" s="532" t="str">
        <f t="shared" si="0"/>
        <v/>
      </c>
      <c r="F20" s="533" t="str">
        <f t="shared" si="1"/>
        <v/>
      </c>
      <c r="G20" s="519" t="str">
        <f t="shared" si="2"/>
        <v/>
      </c>
      <c r="H20" s="324"/>
      <c r="I20" s="324"/>
      <c r="J20" s="324"/>
      <c r="K20" s="324"/>
      <c r="L20" s="324"/>
      <c r="M20" s="479"/>
      <c r="N20" s="479"/>
      <c r="O20" s="324"/>
      <c r="P20" s="324"/>
      <c r="Q20" s="324"/>
      <c r="R20" s="324"/>
      <c r="S20" s="324"/>
      <c r="T20" s="324"/>
      <c r="U20" s="324"/>
      <c r="V20" s="324"/>
      <c r="W20" s="324"/>
      <c r="X20" s="324"/>
      <c r="Y20" s="324"/>
      <c r="Z20" s="324"/>
      <c r="AA20" s="324"/>
      <c r="AB20" s="324"/>
      <c r="AC20" s="324"/>
      <c r="AD20" s="324"/>
    </row>
    <row r="21" spans="1:30" s="27" customFormat="1">
      <c r="A21" s="98"/>
      <c r="B21" s="38"/>
      <c r="C21" s="38"/>
      <c r="D21" s="107"/>
      <c r="E21" s="532" t="str">
        <f t="shared" si="0"/>
        <v/>
      </c>
      <c r="F21" s="533" t="str">
        <f t="shared" si="1"/>
        <v/>
      </c>
      <c r="G21" s="519" t="str">
        <f t="shared" si="2"/>
        <v/>
      </c>
      <c r="H21" s="324"/>
      <c r="I21" s="324"/>
      <c r="J21" s="324"/>
      <c r="K21" s="324"/>
      <c r="L21" s="324"/>
      <c r="M21" s="479"/>
      <c r="N21" s="479"/>
      <c r="O21" s="324"/>
      <c r="P21" s="324"/>
      <c r="Q21" s="324"/>
      <c r="R21" s="324"/>
      <c r="S21" s="324"/>
      <c r="T21" s="324"/>
      <c r="U21" s="324"/>
      <c r="V21" s="324"/>
      <c r="W21" s="324"/>
      <c r="X21" s="324"/>
      <c r="Y21" s="324"/>
      <c r="Z21" s="324"/>
      <c r="AA21" s="324"/>
      <c r="AB21" s="324"/>
      <c r="AC21" s="324"/>
      <c r="AD21" s="324"/>
    </row>
    <row r="22" spans="1:30" s="27" customFormat="1">
      <c r="A22" s="98"/>
      <c r="B22" s="38"/>
      <c r="C22" s="38"/>
      <c r="D22" s="107"/>
      <c r="E22" s="532" t="str">
        <f t="shared" si="0"/>
        <v/>
      </c>
      <c r="F22" s="533" t="str">
        <f t="shared" si="1"/>
        <v/>
      </c>
      <c r="G22" s="519" t="str">
        <f t="shared" si="2"/>
        <v/>
      </c>
      <c r="H22" s="324"/>
      <c r="I22" s="324"/>
      <c r="J22" s="324"/>
      <c r="K22" s="324"/>
      <c r="L22" s="324"/>
      <c r="M22" s="479"/>
      <c r="N22" s="479"/>
      <c r="O22" s="324"/>
      <c r="P22" s="324"/>
      <c r="Q22" s="324"/>
      <c r="R22" s="324"/>
      <c r="S22" s="324"/>
      <c r="T22" s="324"/>
      <c r="U22" s="324"/>
      <c r="V22" s="324"/>
      <c r="W22" s="324"/>
      <c r="X22" s="324"/>
      <c r="Y22" s="324"/>
      <c r="Z22" s="324"/>
      <c r="AA22" s="324"/>
      <c r="AB22" s="324"/>
      <c r="AC22" s="324"/>
      <c r="AD22" s="324"/>
    </row>
    <row r="23" spans="1:30" s="27" customFormat="1">
      <c r="A23" s="98"/>
      <c r="B23" s="38"/>
      <c r="C23" s="38"/>
      <c r="D23" s="107"/>
      <c r="E23" s="532" t="str">
        <f t="shared" si="0"/>
        <v/>
      </c>
      <c r="F23" s="533" t="str">
        <f t="shared" si="1"/>
        <v/>
      </c>
      <c r="G23" s="519" t="str">
        <f t="shared" si="2"/>
        <v/>
      </c>
      <c r="H23" s="324"/>
      <c r="I23" s="324"/>
      <c r="J23" s="324"/>
      <c r="K23" s="324"/>
      <c r="L23" s="324"/>
      <c r="M23" s="479"/>
      <c r="N23" s="479"/>
      <c r="O23" s="324"/>
      <c r="P23" s="324"/>
      <c r="Q23" s="324"/>
      <c r="R23" s="324"/>
      <c r="S23" s="324"/>
      <c r="T23" s="324"/>
      <c r="U23" s="324"/>
      <c r="V23" s="324"/>
      <c r="W23" s="324"/>
      <c r="X23" s="324"/>
      <c r="Y23" s="324"/>
      <c r="Z23" s="324"/>
      <c r="AA23" s="324"/>
      <c r="AB23" s="324"/>
      <c r="AC23" s="324"/>
      <c r="AD23" s="324"/>
    </row>
    <row r="24" spans="1:30" s="27" customFormat="1">
      <c r="A24" s="98"/>
      <c r="B24" s="38"/>
      <c r="C24" s="38"/>
      <c r="D24" s="107"/>
      <c r="E24" s="532" t="str">
        <f t="shared" si="0"/>
        <v/>
      </c>
      <c r="F24" s="533" t="str">
        <f t="shared" si="1"/>
        <v/>
      </c>
      <c r="G24" s="519" t="str">
        <f t="shared" si="2"/>
        <v/>
      </c>
      <c r="H24" s="324"/>
      <c r="I24" s="324"/>
      <c r="J24" s="324"/>
      <c r="K24" s="324"/>
      <c r="L24" s="324"/>
      <c r="M24" s="479"/>
      <c r="N24" s="479"/>
      <c r="O24" s="324"/>
      <c r="P24" s="324"/>
      <c r="Q24" s="324"/>
      <c r="R24" s="324"/>
      <c r="S24" s="324"/>
      <c r="T24" s="324"/>
      <c r="U24" s="324"/>
      <c r="V24" s="324"/>
      <c r="W24" s="324"/>
      <c r="X24" s="324"/>
      <c r="Y24" s="324"/>
      <c r="Z24" s="324"/>
      <c r="AA24" s="324"/>
      <c r="AB24" s="324"/>
      <c r="AC24" s="324"/>
      <c r="AD24" s="324"/>
    </row>
    <row r="25" spans="1:30" s="27" customFormat="1">
      <c r="A25" s="98"/>
      <c r="B25" s="38"/>
      <c r="C25" s="38"/>
      <c r="D25" s="107"/>
      <c r="E25" s="532" t="str">
        <f t="shared" si="0"/>
        <v/>
      </c>
      <c r="F25" s="533" t="str">
        <f t="shared" si="1"/>
        <v/>
      </c>
      <c r="G25" s="519" t="str">
        <f t="shared" si="2"/>
        <v/>
      </c>
      <c r="H25" s="324"/>
      <c r="I25" s="324"/>
      <c r="J25" s="324"/>
      <c r="K25" s="324"/>
      <c r="L25" s="324"/>
      <c r="M25" s="479"/>
      <c r="N25" s="479"/>
      <c r="O25" s="324"/>
      <c r="P25" s="324"/>
      <c r="Q25" s="324"/>
      <c r="R25" s="324"/>
      <c r="S25" s="324"/>
      <c r="T25" s="324"/>
      <c r="U25" s="324"/>
      <c r="V25" s="324"/>
      <c r="W25" s="324"/>
      <c r="X25" s="324"/>
      <c r="Y25" s="324"/>
      <c r="Z25" s="324"/>
      <c r="AA25" s="324"/>
      <c r="AB25" s="324"/>
      <c r="AC25" s="324"/>
      <c r="AD25" s="324"/>
    </row>
    <row r="26" spans="1:30" s="27" customFormat="1">
      <c r="A26" s="98"/>
      <c r="B26" s="38"/>
      <c r="C26" s="38"/>
      <c r="D26" s="107"/>
      <c r="E26" s="532" t="str">
        <f t="shared" si="0"/>
        <v/>
      </c>
      <c r="F26" s="533" t="str">
        <f t="shared" si="1"/>
        <v/>
      </c>
      <c r="G26" s="519" t="str">
        <f t="shared" si="2"/>
        <v/>
      </c>
      <c r="H26" s="324"/>
      <c r="I26" s="324"/>
      <c r="J26" s="324"/>
      <c r="K26" s="324"/>
      <c r="L26" s="324"/>
      <c r="M26" s="479"/>
      <c r="N26" s="479"/>
      <c r="O26" s="324"/>
      <c r="P26" s="324"/>
      <c r="Q26" s="324"/>
      <c r="R26" s="324"/>
      <c r="S26" s="324"/>
      <c r="T26" s="324"/>
      <c r="U26" s="324"/>
      <c r="V26" s="324"/>
      <c r="W26" s="324"/>
      <c r="X26" s="324"/>
      <c r="Y26" s="324"/>
      <c r="Z26" s="324"/>
      <c r="AA26" s="324"/>
      <c r="AB26" s="324"/>
      <c r="AC26" s="324"/>
      <c r="AD26" s="324"/>
    </row>
    <row r="27" spans="1:30" s="27" customFormat="1">
      <c r="A27" s="98"/>
      <c r="B27" s="38"/>
      <c r="C27" s="38"/>
      <c r="D27" s="107"/>
      <c r="E27" s="532" t="str">
        <f t="shared" si="0"/>
        <v/>
      </c>
      <c r="F27" s="533" t="str">
        <f t="shared" si="1"/>
        <v/>
      </c>
      <c r="G27" s="519" t="str">
        <f t="shared" si="2"/>
        <v/>
      </c>
      <c r="H27" s="324"/>
      <c r="I27" s="324"/>
      <c r="J27" s="324"/>
      <c r="K27" s="324"/>
      <c r="L27" s="324"/>
      <c r="M27" s="479"/>
      <c r="N27" s="479"/>
      <c r="O27" s="324"/>
      <c r="P27" s="324"/>
      <c r="Q27" s="324"/>
      <c r="R27" s="324"/>
      <c r="S27" s="324"/>
      <c r="T27" s="324"/>
      <c r="U27" s="324"/>
      <c r="V27" s="324"/>
      <c r="W27" s="324"/>
      <c r="X27" s="324"/>
      <c r="Y27" s="324"/>
      <c r="Z27" s="324"/>
      <c r="AA27" s="324"/>
      <c r="AB27" s="324"/>
      <c r="AC27" s="324"/>
      <c r="AD27" s="324"/>
    </row>
    <row r="28" spans="1:30" s="27" customFormat="1">
      <c r="A28" s="98"/>
      <c r="B28" s="38"/>
      <c r="C28" s="38"/>
      <c r="D28" s="107"/>
      <c r="E28" s="532" t="str">
        <f t="shared" si="0"/>
        <v/>
      </c>
      <c r="F28" s="533" t="str">
        <f t="shared" si="1"/>
        <v/>
      </c>
      <c r="G28" s="519" t="str">
        <f t="shared" si="2"/>
        <v/>
      </c>
      <c r="H28" s="324"/>
      <c r="I28" s="324"/>
      <c r="J28" s="324"/>
      <c r="K28" s="324"/>
      <c r="L28" s="324"/>
      <c r="M28" s="479"/>
      <c r="N28" s="479"/>
      <c r="O28" s="324"/>
      <c r="P28" s="324"/>
      <c r="Q28" s="324"/>
      <c r="R28" s="324"/>
      <c r="S28" s="324"/>
      <c r="T28" s="324"/>
      <c r="U28" s="324"/>
      <c r="V28" s="324"/>
      <c r="W28" s="324"/>
      <c r="X28" s="324"/>
      <c r="Y28" s="324"/>
      <c r="Z28" s="324"/>
      <c r="AA28" s="324"/>
      <c r="AB28" s="324"/>
      <c r="AC28" s="324"/>
      <c r="AD28" s="324"/>
    </row>
    <row r="29" spans="1:30" s="27" customFormat="1">
      <c r="A29" s="98"/>
      <c r="B29" s="38"/>
      <c r="C29" s="38"/>
      <c r="D29" s="107"/>
      <c r="E29" s="532" t="str">
        <f t="shared" si="0"/>
        <v/>
      </c>
      <c r="F29" s="533" t="str">
        <f t="shared" si="1"/>
        <v/>
      </c>
      <c r="G29" s="519" t="str">
        <f t="shared" si="2"/>
        <v/>
      </c>
      <c r="H29" s="324"/>
      <c r="I29" s="324"/>
      <c r="J29" s="324"/>
      <c r="K29" s="324"/>
      <c r="L29" s="324"/>
      <c r="M29" s="479"/>
      <c r="N29" s="479"/>
      <c r="O29" s="324"/>
      <c r="P29" s="324"/>
      <c r="Q29" s="324"/>
      <c r="R29" s="324"/>
      <c r="S29" s="324"/>
      <c r="T29" s="324"/>
      <c r="U29" s="324"/>
      <c r="V29" s="324"/>
      <c r="W29" s="324"/>
      <c r="X29" s="324"/>
      <c r="Y29" s="324"/>
      <c r="Z29" s="324"/>
      <c r="AA29" s="324"/>
      <c r="AB29" s="324"/>
      <c r="AC29" s="324"/>
      <c r="AD29" s="324"/>
    </row>
    <row r="30" spans="1:30" s="27" customFormat="1">
      <c r="A30" s="98"/>
      <c r="B30" s="38"/>
      <c r="C30" s="38"/>
      <c r="D30" s="107"/>
      <c r="E30" s="532" t="str">
        <f t="shared" si="0"/>
        <v/>
      </c>
      <c r="F30" s="533" t="str">
        <f t="shared" si="1"/>
        <v/>
      </c>
      <c r="G30" s="519" t="str">
        <f t="shared" si="2"/>
        <v/>
      </c>
      <c r="H30" s="324"/>
      <c r="I30" s="324"/>
      <c r="J30" s="324"/>
      <c r="K30" s="324"/>
      <c r="L30" s="324"/>
      <c r="M30" s="479"/>
      <c r="N30" s="479"/>
      <c r="O30" s="324"/>
      <c r="P30" s="324"/>
      <c r="Q30" s="324"/>
      <c r="R30" s="324"/>
      <c r="S30" s="324"/>
      <c r="T30" s="324"/>
      <c r="U30" s="324"/>
      <c r="V30" s="324"/>
      <c r="W30" s="324"/>
      <c r="X30" s="324"/>
      <c r="Y30" s="324"/>
      <c r="Z30" s="324"/>
      <c r="AA30" s="324"/>
      <c r="AB30" s="324"/>
      <c r="AC30" s="324"/>
      <c r="AD30" s="324"/>
    </row>
    <row r="31" spans="1:30" s="27" customFormat="1">
      <c r="A31" s="98"/>
      <c r="B31" s="38"/>
      <c r="C31" s="38"/>
      <c r="D31" s="107"/>
      <c r="E31" s="532" t="str">
        <f t="shared" si="0"/>
        <v/>
      </c>
      <c r="F31" s="533" t="str">
        <f t="shared" si="1"/>
        <v/>
      </c>
      <c r="G31" s="519" t="str">
        <f t="shared" si="2"/>
        <v/>
      </c>
      <c r="H31" s="324"/>
      <c r="I31" s="324"/>
      <c r="J31" s="324"/>
      <c r="K31" s="324"/>
      <c r="L31" s="324"/>
      <c r="M31" s="479"/>
      <c r="N31" s="479"/>
      <c r="O31" s="324"/>
      <c r="P31" s="324"/>
      <c r="Q31" s="324"/>
      <c r="R31" s="324"/>
      <c r="S31" s="324"/>
      <c r="T31" s="324"/>
      <c r="U31" s="324"/>
      <c r="V31" s="324"/>
      <c r="W31" s="324"/>
      <c r="X31" s="324"/>
      <c r="Y31" s="324"/>
      <c r="Z31" s="324"/>
      <c r="AA31" s="324"/>
      <c r="AB31" s="324"/>
      <c r="AC31" s="324"/>
      <c r="AD31" s="324"/>
    </row>
    <row r="32" spans="1:30" s="27" customFormat="1">
      <c r="A32" s="98"/>
      <c r="B32" s="38"/>
      <c r="C32" s="38"/>
      <c r="D32" s="107"/>
      <c r="E32" s="532" t="str">
        <f t="shared" si="0"/>
        <v/>
      </c>
      <c r="F32" s="533" t="str">
        <f t="shared" si="1"/>
        <v/>
      </c>
      <c r="G32" s="519" t="str">
        <f t="shared" si="2"/>
        <v/>
      </c>
      <c r="H32" s="324"/>
      <c r="I32" s="324"/>
      <c r="J32" s="324"/>
      <c r="K32" s="324"/>
      <c r="L32" s="324"/>
      <c r="M32" s="479"/>
      <c r="N32" s="479"/>
      <c r="O32" s="324"/>
      <c r="P32" s="324"/>
      <c r="Q32" s="324"/>
      <c r="R32" s="324"/>
      <c r="S32" s="324"/>
      <c r="T32" s="324"/>
      <c r="U32" s="324"/>
      <c r="V32" s="324"/>
      <c r="W32" s="324"/>
      <c r="X32" s="324"/>
      <c r="Y32" s="324"/>
      <c r="Z32" s="324"/>
      <c r="AA32" s="324"/>
      <c r="AB32" s="324"/>
      <c r="AC32" s="324"/>
      <c r="AD32" s="324"/>
    </row>
    <row r="33" spans="1:30" s="27" customFormat="1">
      <c r="A33" s="98"/>
      <c r="B33" s="38"/>
      <c r="C33" s="38"/>
      <c r="D33" s="107"/>
      <c r="E33" s="532" t="str">
        <f t="shared" si="0"/>
        <v/>
      </c>
      <c r="F33" s="533" t="str">
        <f t="shared" si="1"/>
        <v/>
      </c>
      <c r="G33" s="519" t="str">
        <f t="shared" si="2"/>
        <v/>
      </c>
      <c r="H33" s="324"/>
      <c r="I33" s="324"/>
      <c r="J33" s="324"/>
      <c r="K33" s="324"/>
      <c r="L33" s="324"/>
      <c r="M33" s="479"/>
      <c r="N33" s="479"/>
      <c r="O33" s="324"/>
      <c r="P33" s="324"/>
      <c r="Q33" s="324"/>
      <c r="R33" s="324"/>
      <c r="S33" s="324"/>
      <c r="T33" s="324"/>
      <c r="U33" s="324"/>
      <c r="V33" s="324"/>
      <c r="W33" s="324"/>
      <c r="X33" s="324"/>
      <c r="Y33" s="324"/>
      <c r="Z33" s="324"/>
      <c r="AA33" s="324"/>
      <c r="AB33" s="324"/>
      <c r="AC33" s="324"/>
      <c r="AD33" s="324"/>
    </row>
    <row r="34" spans="1:30" s="27" customFormat="1">
      <c r="A34" s="98"/>
      <c r="B34" s="38"/>
      <c r="C34" s="38"/>
      <c r="D34" s="107"/>
      <c r="E34" s="532" t="str">
        <f t="shared" si="0"/>
        <v/>
      </c>
      <c r="F34" s="533" t="str">
        <f t="shared" si="1"/>
        <v/>
      </c>
      <c r="G34" s="519" t="str">
        <f t="shared" si="2"/>
        <v/>
      </c>
      <c r="H34" s="324"/>
      <c r="I34" s="324"/>
      <c r="J34" s="324"/>
      <c r="K34" s="324"/>
      <c r="L34" s="324"/>
      <c r="M34" s="479"/>
      <c r="N34" s="479"/>
      <c r="O34" s="324"/>
      <c r="P34" s="324"/>
      <c r="Q34" s="324"/>
      <c r="R34" s="324"/>
      <c r="S34" s="324"/>
      <c r="T34" s="324"/>
      <c r="U34" s="324"/>
      <c r="V34" s="324"/>
      <c r="W34" s="324"/>
      <c r="X34" s="324"/>
      <c r="Y34" s="324"/>
      <c r="Z34" s="324"/>
      <c r="AA34" s="324"/>
      <c r="AB34" s="324"/>
      <c r="AC34" s="324"/>
      <c r="AD34" s="324"/>
    </row>
    <row r="35" spans="1:30" s="27" customFormat="1">
      <c r="A35" s="98"/>
      <c r="B35" s="38"/>
      <c r="C35" s="38"/>
      <c r="D35" s="107"/>
      <c r="E35" s="532" t="str">
        <f t="shared" si="0"/>
        <v/>
      </c>
      <c r="F35" s="533" t="str">
        <f t="shared" si="1"/>
        <v/>
      </c>
      <c r="G35" s="519" t="str">
        <f t="shared" si="2"/>
        <v/>
      </c>
      <c r="H35" s="324"/>
      <c r="I35" s="324"/>
      <c r="J35" s="324"/>
      <c r="K35" s="324"/>
      <c r="L35" s="324"/>
      <c r="M35" s="479"/>
      <c r="N35" s="479"/>
      <c r="O35" s="324"/>
      <c r="P35" s="324"/>
      <c r="Q35" s="324"/>
      <c r="R35" s="324"/>
      <c r="S35" s="324"/>
      <c r="T35" s="324"/>
      <c r="U35" s="324"/>
      <c r="V35" s="324"/>
      <c r="W35" s="324"/>
      <c r="X35" s="324"/>
      <c r="Y35" s="324"/>
      <c r="Z35" s="324"/>
      <c r="AA35" s="324"/>
      <c r="AB35" s="324"/>
      <c r="AC35" s="324"/>
      <c r="AD35" s="324"/>
    </row>
    <row r="36" spans="1:30" s="27" customFormat="1">
      <c r="A36" s="98"/>
      <c r="B36" s="38"/>
      <c r="C36" s="38"/>
      <c r="D36" s="107"/>
      <c r="E36" s="532" t="str">
        <f t="shared" si="0"/>
        <v/>
      </c>
      <c r="F36" s="533" t="str">
        <f t="shared" si="1"/>
        <v/>
      </c>
      <c r="G36" s="519" t="str">
        <f t="shared" si="2"/>
        <v/>
      </c>
      <c r="H36" s="324"/>
      <c r="I36" s="324"/>
      <c r="J36" s="324"/>
      <c r="K36" s="324"/>
      <c r="L36" s="324"/>
      <c r="M36" s="479"/>
      <c r="N36" s="479"/>
      <c r="O36" s="324"/>
      <c r="P36" s="324"/>
      <c r="Q36" s="324"/>
      <c r="R36" s="324"/>
      <c r="S36" s="324"/>
      <c r="T36" s="324"/>
      <c r="U36" s="324"/>
      <c r="V36" s="324"/>
      <c r="W36" s="324"/>
      <c r="X36" s="324"/>
      <c r="Y36" s="324"/>
      <c r="Z36" s="324"/>
      <c r="AA36" s="324"/>
      <c r="AB36" s="324"/>
      <c r="AC36" s="324"/>
      <c r="AD36" s="324"/>
    </row>
    <row r="37" spans="1:30" s="27" customFormat="1">
      <c r="A37" s="98"/>
      <c r="B37" s="38"/>
      <c r="C37" s="38"/>
      <c r="D37" s="107"/>
      <c r="E37" s="532" t="str">
        <f t="shared" si="0"/>
        <v/>
      </c>
      <c r="F37" s="533" t="str">
        <f t="shared" si="1"/>
        <v/>
      </c>
      <c r="G37" s="519" t="str">
        <f t="shared" si="2"/>
        <v/>
      </c>
      <c r="H37" s="324"/>
      <c r="I37" s="324"/>
      <c r="J37" s="324"/>
      <c r="K37" s="324"/>
      <c r="L37" s="324"/>
      <c r="M37" s="479"/>
      <c r="N37" s="479"/>
      <c r="O37" s="324"/>
      <c r="P37" s="324"/>
      <c r="Q37" s="324"/>
      <c r="R37" s="324"/>
      <c r="S37" s="324"/>
      <c r="T37" s="324"/>
      <c r="U37" s="324"/>
      <c r="V37" s="324"/>
      <c r="W37" s="324"/>
      <c r="X37" s="324"/>
      <c r="Y37" s="324"/>
      <c r="Z37" s="324"/>
      <c r="AA37" s="324"/>
      <c r="AB37" s="324"/>
      <c r="AC37" s="324"/>
      <c r="AD37" s="324"/>
    </row>
    <row r="38" spans="1:30" s="27" customFormat="1">
      <c r="A38" s="98"/>
      <c r="B38" s="38"/>
      <c r="C38" s="38"/>
      <c r="D38" s="107"/>
      <c r="E38" s="532" t="str">
        <f t="shared" si="0"/>
        <v/>
      </c>
      <c r="F38" s="533" t="str">
        <f t="shared" si="1"/>
        <v/>
      </c>
      <c r="G38" s="519" t="str">
        <f t="shared" si="2"/>
        <v/>
      </c>
      <c r="H38" s="324"/>
      <c r="I38" s="324"/>
      <c r="J38" s="324"/>
      <c r="K38" s="324"/>
      <c r="L38" s="324"/>
      <c r="M38" s="479"/>
      <c r="N38" s="479"/>
      <c r="O38" s="324"/>
      <c r="P38" s="324"/>
      <c r="Q38" s="324"/>
      <c r="R38" s="324"/>
      <c r="S38" s="324"/>
      <c r="T38" s="324"/>
      <c r="U38" s="324"/>
      <c r="V38" s="324"/>
      <c r="W38" s="324"/>
      <c r="X38" s="324"/>
      <c r="Y38" s="324"/>
      <c r="Z38" s="324"/>
      <c r="AA38" s="324"/>
      <c r="AB38" s="324"/>
      <c r="AC38" s="324"/>
      <c r="AD38" s="324"/>
    </row>
    <row r="39" spans="1:30" s="27" customFormat="1">
      <c r="A39" s="98"/>
      <c r="B39" s="38"/>
      <c r="C39" s="38"/>
      <c r="D39" s="107"/>
      <c r="E39" s="532" t="str">
        <f t="shared" si="0"/>
        <v/>
      </c>
      <c r="F39" s="533" t="str">
        <f t="shared" si="1"/>
        <v/>
      </c>
      <c r="G39" s="519" t="str">
        <f t="shared" si="2"/>
        <v/>
      </c>
      <c r="H39" s="324"/>
      <c r="I39" s="324"/>
      <c r="J39" s="324"/>
      <c r="K39" s="324"/>
      <c r="L39" s="324"/>
      <c r="M39" s="479"/>
      <c r="N39" s="479"/>
      <c r="O39" s="324"/>
      <c r="P39" s="324"/>
      <c r="Q39" s="324"/>
      <c r="R39" s="324"/>
      <c r="S39" s="324"/>
      <c r="T39" s="324"/>
      <c r="U39" s="324"/>
      <c r="V39" s="324"/>
      <c r="W39" s="324"/>
      <c r="X39" s="324"/>
      <c r="Y39" s="324"/>
      <c r="Z39" s="324"/>
      <c r="AA39" s="324"/>
      <c r="AB39" s="324"/>
      <c r="AC39" s="324"/>
      <c r="AD39" s="324"/>
    </row>
    <row r="40" spans="1:30" s="27" customFormat="1">
      <c r="A40" s="98"/>
      <c r="B40" s="38"/>
      <c r="C40" s="38"/>
      <c r="D40" s="107"/>
      <c r="E40" s="532" t="str">
        <f t="shared" si="0"/>
        <v/>
      </c>
      <c r="F40" s="533" t="str">
        <f t="shared" si="1"/>
        <v/>
      </c>
      <c r="G40" s="519" t="str">
        <f t="shared" si="2"/>
        <v/>
      </c>
      <c r="H40" s="324"/>
      <c r="I40" s="324"/>
      <c r="J40" s="324"/>
      <c r="K40" s="324"/>
      <c r="L40" s="324"/>
      <c r="M40" s="479"/>
      <c r="N40" s="479"/>
      <c r="O40" s="324"/>
      <c r="P40" s="324"/>
      <c r="Q40" s="324"/>
      <c r="R40" s="324"/>
      <c r="S40" s="324"/>
      <c r="T40" s="324"/>
      <c r="U40" s="324"/>
      <c r="V40" s="324"/>
      <c r="W40" s="324"/>
      <c r="X40" s="324"/>
      <c r="Y40" s="324"/>
      <c r="Z40" s="324"/>
      <c r="AA40" s="324"/>
      <c r="AB40" s="324"/>
      <c r="AC40" s="324"/>
      <c r="AD40" s="324"/>
    </row>
    <row r="41" spans="1:30" s="27" customFormat="1">
      <c r="A41" s="98"/>
      <c r="B41" s="38"/>
      <c r="C41" s="38"/>
      <c r="D41" s="107"/>
      <c r="E41" s="532" t="str">
        <f t="shared" si="0"/>
        <v/>
      </c>
      <c r="F41" s="533" t="str">
        <f t="shared" si="1"/>
        <v/>
      </c>
      <c r="G41" s="519" t="str">
        <f t="shared" si="2"/>
        <v/>
      </c>
      <c r="H41" s="324"/>
      <c r="I41" s="324"/>
      <c r="J41" s="324"/>
      <c r="K41" s="324"/>
      <c r="L41" s="324"/>
      <c r="M41" s="479"/>
      <c r="N41" s="479"/>
      <c r="O41" s="324"/>
      <c r="P41" s="324"/>
      <c r="Q41" s="324"/>
      <c r="R41" s="324"/>
      <c r="S41" s="324"/>
      <c r="T41" s="324"/>
      <c r="U41" s="324"/>
      <c r="V41" s="324"/>
      <c r="W41" s="324"/>
      <c r="X41" s="324"/>
      <c r="Y41" s="324"/>
      <c r="Z41" s="324"/>
      <c r="AA41" s="324"/>
      <c r="AB41" s="324"/>
      <c r="AC41" s="324"/>
      <c r="AD41" s="324"/>
    </row>
    <row r="42" spans="1:30" s="27" customFormat="1">
      <c r="A42" s="98"/>
      <c r="B42" s="38"/>
      <c r="C42" s="38"/>
      <c r="D42" s="107"/>
      <c r="E42" s="532" t="str">
        <f t="shared" si="0"/>
        <v/>
      </c>
      <c r="F42" s="533" t="str">
        <f t="shared" si="1"/>
        <v/>
      </c>
      <c r="G42" s="519" t="str">
        <f t="shared" si="2"/>
        <v/>
      </c>
      <c r="H42" s="324"/>
      <c r="I42" s="324"/>
      <c r="J42" s="324"/>
      <c r="K42" s="324"/>
      <c r="L42" s="324"/>
      <c r="M42" s="479"/>
      <c r="N42" s="480"/>
      <c r="O42" s="324"/>
      <c r="P42" s="324"/>
      <c r="Q42" s="324"/>
      <c r="R42" s="324"/>
      <c r="S42" s="324"/>
      <c r="T42" s="324"/>
      <c r="U42" s="324"/>
      <c r="V42" s="324"/>
      <c r="W42" s="324"/>
      <c r="X42" s="324"/>
      <c r="Y42" s="324"/>
      <c r="Z42" s="324"/>
      <c r="AA42" s="324"/>
      <c r="AB42" s="324"/>
      <c r="AC42" s="324"/>
      <c r="AD42" s="324"/>
    </row>
    <row r="43" spans="1:30" s="27" customFormat="1">
      <c r="A43" s="98"/>
      <c r="B43" s="38"/>
      <c r="C43" s="38"/>
      <c r="D43" s="107"/>
      <c r="E43" s="532" t="str">
        <f t="shared" si="0"/>
        <v/>
      </c>
      <c r="F43" s="533" t="str">
        <f t="shared" si="1"/>
        <v/>
      </c>
      <c r="G43" s="519" t="str">
        <f t="shared" si="2"/>
        <v/>
      </c>
      <c r="H43" s="324"/>
      <c r="I43" s="324"/>
      <c r="J43" s="324"/>
      <c r="K43" s="324"/>
      <c r="L43" s="324"/>
      <c r="M43" s="479"/>
      <c r="N43" s="480"/>
      <c r="O43" s="324"/>
      <c r="P43" s="324"/>
      <c r="Q43" s="324"/>
      <c r="R43" s="324"/>
      <c r="S43" s="324"/>
      <c r="T43" s="324"/>
      <c r="U43" s="324"/>
      <c r="V43" s="324"/>
      <c r="W43" s="324"/>
      <c r="X43" s="324"/>
      <c r="Y43" s="324"/>
      <c r="Z43" s="324"/>
      <c r="AA43" s="324"/>
      <c r="AB43" s="324"/>
      <c r="AC43" s="324"/>
      <c r="AD43" s="324"/>
    </row>
    <row r="44" spans="1:30" s="27" customFormat="1">
      <c r="A44" s="98"/>
      <c r="B44" s="38"/>
      <c r="C44" s="38"/>
      <c r="D44" s="107"/>
      <c r="E44" s="532" t="str">
        <f t="shared" si="0"/>
        <v/>
      </c>
      <c r="F44" s="533" t="str">
        <f t="shared" si="1"/>
        <v/>
      </c>
      <c r="G44" s="519" t="str">
        <f t="shared" si="2"/>
        <v/>
      </c>
      <c r="H44" s="324"/>
      <c r="I44" s="324"/>
      <c r="J44" s="324"/>
      <c r="K44" s="324"/>
      <c r="L44" s="324"/>
      <c r="M44" s="479"/>
      <c r="N44" s="480"/>
      <c r="O44" s="324"/>
      <c r="P44" s="324"/>
      <c r="Q44" s="324"/>
      <c r="R44" s="324"/>
      <c r="S44" s="324"/>
      <c r="T44" s="324"/>
      <c r="U44" s="324"/>
      <c r="V44" s="324"/>
      <c r="W44" s="324"/>
      <c r="X44" s="324"/>
      <c r="Y44" s="324"/>
      <c r="Z44" s="324"/>
      <c r="AA44" s="324"/>
      <c r="AB44" s="324"/>
      <c r="AC44" s="324"/>
      <c r="AD44" s="324"/>
    </row>
    <row r="45" spans="1:30" s="27" customFormat="1">
      <c r="A45" s="98"/>
      <c r="B45" s="38"/>
      <c r="C45" s="38"/>
      <c r="D45" s="107"/>
      <c r="E45" s="532" t="str">
        <f t="shared" si="0"/>
        <v/>
      </c>
      <c r="F45" s="533" t="str">
        <f t="shared" si="1"/>
        <v/>
      </c>
      <c r="G45" s="519" t="str">
        <f t="shared" si="2"/>
        <v/>
      </c>
      <c r="H45" s="324"/>
      <c r="I45" s="324"/>
      <c r="J45" s="324"/>
      <c r="K45" s="324"/>
      <c r="L45" s="324"/>
      <c r="M45" s="479"/>
      <c r="N45" s="480"/>
      <c r="O45" s="324"/>
      <c r="P45" s="324"/>
      <c r="Q45" s="324"/>
      <c r="R45" s="324"/>
      <c r="S45" s="324"/>
      <c r="T45" s="324"/>
      <c r="U45" s="324"/>
      <c r="V45" s="324"/>
      <c r="W45" s="324"/>
      <c r="X45" s="324"/>
      <c r="Y45" s="324"/>
      <c r="Z45" s="324"/>
      <c r="AA45" s="324"/>
      <c r="AB45" s="324"/>
      <c r="AC45" s="324"/>
      <c r="AD45" s="324"/>
    </row>
    <row r="46" spans="1:30" s="27" customFormat="1">
      <c r="A46" s="98"/>
      <c r="B46" s="38"/>
      <c r="C46" s="38"/>
      <c r="D46" s="107"/>
      <c r="E46" s="532" t="str">
        <f t="shared" si="0"/>
        <v/>
      </c>
      <c r="F46" s="533" t="str">
        <f t="shared" si="1"/>
        <v/>
      </c>
      <c r="G46" s="519" t="str">
        <f t="shared" si="2"/>
        <v/>
      </c>
      <c r="H46" s="324"/>
      <c r="I46" s="324"/>
      <c r="J46" s="324"/>
      <c r="K46" s="324"/>
      <c r="L46" s="324"/>
      <c r="M46" s="476"/>
      <c r="N46" s="476"/>
      <c r="O46" s="324"/>
      <c r="P46" s="324"/>
      <c r="Q46" s="324"/>
      <c r="R46" s="324"/>
      <c r="S46" s="324"/>
      <c r="T46" s="324"/>
      <c r="U46" s="324"/>
      <c r="V46" s="324"/>
      <c r="W46" s="324"/>
      <c r="X46" s="324"/>
      <c r="Y46" s="324"/>
      <c r="Z46" s="324"/>
      <c r="AA46" s="324"/>
      <c r="AB46" s="324"/>
      <c r="AC46" s="324"/>
      <c r="AD46" s="324"/>
    </row>
    <row r="47" spans="1:30" s="27" customFormat="1">
      <c r="A47" s="98"/>
      <c r="B47" s="38"/>
      <c r="C47" s="38"/>
      <c r="D47" s="107"/>
      <c r="E47" s="532" t="str">
        <f t="shared" si="0"/>
        <v/>
      </c>
      <c r="F47" s="533" t="str">
        <f t="shared" si="1"/>
        <v/>
      </c>
      <c r="G47" s="519" t="str">
        <f t="shared" si="2"/>
        <v/>
      </c>
      <c r="H47" s="324"/>
      <c r="I47" s="324"/>
      <c r="J47" s="324"/>
      <c r="K47" s="324"/>
      <c r="L47" s="324"/>
      <c r="M47" s="476"/>
      <c r="N47" s="476"/>
      <c r="O47" s="324"/>
      <c r="P47" s="324"/>
      <c r="Q47" s="324"/>
      <c r="R47" s="324"/>
      <c r="S47" s="324"/>
      <c r="T47" s="324"/>
      <c r="U47" s="324"/>
      <c r="V47" s="324"/>
      <c r="W47" s="324"/>
      <c r="X47" s="324"/>
      <c r="Y47" s="324"/>
      <c r="Z47" s="324"/>
      <c r="AA47" s="324"/>
      <c r="AB47" s="324"/>
      <c r="AC47" s="324"/>
      <c r="AD47" s="324"/>
    </row>
    <row r="48" spans="1:30" s="27" customFormat="1">
      <c r="A48" s="98"/>
      <c r="B48" s="38"/>
      <c r="C48" s="38"/>
      <c r="D48" s="107"/>
      <c r="E48" s="532" t="str">
        <f t="shared" si="0"/>
        <v/>
      </c>
      <c r="F48" s="533" t="str">
        <f t="shared" si="1"/>
        <v/>
      </c>
      <c r="G48" s="519" t="str">
        <f t="shared" si="2"/>
        <v/>
      </c>
      <c r="H48" s="324"/>
      <c r="I48" s="324"/>
      <c r="J48" s="324"/>
      <c r="K48" s="324"/>
      <c r="L48" s="324"/>
      <c r="M48" s="324"/>
      <c r="N48" s="324"/>
      <c r="O48" s="324"/>
      <c r="P48" s="324"/>
      <c r="Q48" s="324"/>
      <c r="R48" s="324"/>
      <c r="S48" s="324"/>
      <c r="T48" s="324"/>
      <c r="U48" s="324"/>
      <c r="V48" s="324"/>
      <c r="W48" s="324"/>
      <c r="X48" s="324"/>
      <c r="Y48" s="324"/>
      <c r="Z48" s="324"/>
      <c r="AA48" s="324"/>
      <c r="AB48" s="324"/>
      <c r="AC48" s="324"/>
      <c r="AD48" s="324"/>
    </row>
    <row r="49" spans="1:30" s="27" customFormat="1">
      <c r="A49" s="98"/>
      <c r="B49" s="38"/>
      <c r="C49" s="38"/>
      <c r="D49" s="107"/>
      <c r="E49" s="532" t="str">
        <f t="shared" si="0"/>
        <v/>
      </c>
      <c r="F49" s="533" t="str">
        <f t="shared" si="1"/>
        <v/>
      </c>
      <c r="G49" s="519" t="str">
        <f t="shared" si="2"/>
        <v/>
      </c>
      <c r="H49" s="324"/>
      <c r="I49" s="324"/>
      <c r="J49" s="324"/>
      <c r="K49" s="324"/>
      <c r="L49" s="324"/>
      <c r="M49" s="476"/>
      <c r="N49" s="476"/>
      <c r="O49" s="324"/>
      <c r="P49" s="324"/>
      <c r="Q49" s="324"/>
      <c r="R49" s="324"/>
      <c r="S49" s="324"/>
      <c r="T49" s="324"/>
      <c r="U49" s="324"/>
      <c r="V49" s="324"/>
      <c r="W49" s="324"/>
      <c r="X49" s="324"/>
      <c r="Y49" s="324"/>
      <c r="Z49" s="324"/>
      <c r="AA49" s="324"/>
      <c r="AB49" s="324"/>
      <c r="AC49" s="324"/>
      <c r="AD49" s="324"/>
    </row>
    <row r="50" spans="1:30" s="27" customFormat="1">
      <c r="A50" s="98"/>
      <c r="B50" s="38"/>
      <c r="C50" s="38"/>
      <c r="D50" s="107"/>
      <c r="E50" s="532" t="str">
        <f t="shared" si="0"/>
        <v/>
      </c>
      <c r="F50" s="533" t="str">
        <f t="shared" si="1"/>
        <v/>
      </c>
      <c r="G50" s="519" t="str">
        <f t="shared" si="2"/>
        <v/>
      </c>
      <c r="H50" s="324"/>
      <c r="I50" s="324"/>
      <c r="J50" s="324"/>
      <c r="K50" s="324"/>
      <c r="L50" s="324"/>
      <c r="M50" s="476"/>
      <c r="N50" s="476"/>
      <c r="O50" s="324"/>
      <c r="P50" s="324"/>
      <c r="Q50" s="324"/>
      <c r="R50" s="324"/>
      <c r="S50" s="324"/>
      <c r="T50" s="324"/>
      <c r="U50" s="324"/>
      <c r="V50" s="324"/>
      <c r="W50" s="324"/>
      <c r="X50" s="324"/>
      <c r="Y50" s="324"/>
      <c r="Z50" s="324"/>
      <c r="AA50" s="324"/>
      <c r="AB50" s="324"/>
      <c r="AC50" s="324"/>
      <c r="AD50" s="324"/>
    </row>
    <row r="51" spans="1:30">
      <c r="A51" s="98"/>
      <c r="B51" s="38"/>
      <c r="C51" s="38"/>
      <c r="D51" s="107"/>
      <c r="E51" s="532" t="str">
        <f t="shared" si="0"/>
        <v/>
      </c>
      <c r="F51" s="533" t="str">
        <f t="shared" si="1"/>
        <v/>
      </c>
      <c r="G51" s="519" t="str">
        <f t="shared" si="2"/>
        <v/>
      </c>
      <c r="H51" s="230"/>
      <c r="I51" s="230"/>
      <c r="J51" s="230"/>
      <c r="K51" s="230"/>
      <c r="L51" s="324"/>
      <c r="M51" s="476"/>
      <c r="N51" s="476"/>
      <c r="O51" s="324"/>
      <c r="P51" s="324"/>
      <c r="Q51" s="324"/>
      <c r="R51" s="324"/>
      <c r="S51" s="324"/>
      <c r="T51" s="324"/>
      <c r="U51" s="324"/>
      <c r="V51" s="230"/>
      <c r="W51" s="230"/>
      <c r="X51" s="230"/>
      <c r="Y51" s="230"/>
      <c r="Z51" s="230"/>
      <c r="AA51" s="230"/>
      <c r="AB51" s="230"/>
      <c r="AC51" s="230"/>
      <c r="AD51" s="230"/>
    </row>
    <row r="52" spans="1:30" ht="13.5" thickBot="1">
      <c r="A52" s="99"/>
      <c r="B52" s="100"/>
      <c r="C52" s="100"/>
      <c r="D52" s="108"/>
      <c r="E52" s="535" t="str">
        <f t="shared" si="0"/>
        <v/>
      </c>
      <c r="F52" s="536" t="str">
        <f t="shared" si="1"/>
        <v/>
      </c>
      <c r="G52" s="522" t="str">
        <f t="shared" si="2"/>
        <v/>
      </c>
      <c r="H52" s="230"/>
      <c r="I52" s="230"/>
      <c r="J52" s="230"/>
      <c r="K52" s="230"/>
      <c r="L52" s="324"/>
      <c r="M52" s="476"/>
      <c r="N52" s="476"/>
      <c r="O52" s="324"/>
      <c r="P52" s="324"/>
      <c r="Q52" s="324"/>
      <c r="R52" s="324"/>
      <c r="S52" s="324"/>
      <c r="T52" s="324"/>
      <c r="U52" s="324"/>
      <c r="V52" s="230"/>
      <c r="W52" s="230"/>
      <c r="X52" s="230"/>
      <c r="Y52" s="230"/>
      <c r="Z52" s="230"/>
      <c r="AA52" s="230"/>
      <c r="AB52" s="230"/>
      <c r="AC52" s="230"/>
      <c r="AD52" s="230"/>
    </row>
    <row r="53" spans="1:30" ht="13.5" thickBot="1">
      <c r="A53" s="167" t="s">
        <v>473</v>
      </c>
      <c r="B53" s="58"/>
      <c r="C53" s="58"/>
      <c r="D53" s="187"/>
      <c r="E53" s="59">
        <f>SUM(E15:E52)</f>
        <v>0</v>
      </c>
      <c r="F53" s="149">
        <f>SUM(F15:F52)</f>
        <v>0</v>
      </c>
      <c r="G53" s="144">
        <f>SUM(G15:G52)</f>
        <v>0</v>
      </c>
      <c r="H53" s="230"/>
      <c r="I53" s="230"/>
      <c r="J53" s="230"/>
      <c r="K53" s="230"/>
      <c r="L53" s="230"/>
      <c r="M53" s="476"/>
      <c r="N53" s="476"/>
      <c r="O53" s="324"/>
      <c r="P53" s="230"/>
      <c r="Q53" s="230"/>
      <c r="R53" s="230"/>
      <c r="S53" s="230"/>
      <c r="T53" s="230"/>
      <c r="U53" s="230"/>
      <c r="V53" s="230"/>
      <c r="W53" s="230"/>
      <c r="X53" s="230"/>
      <c r="Y53" s="230"/>
      <c r="Z53" s="230"/>
      <c r="AA53" s="230"/>
      <c r="AB53" s="230"/>
      <c r="AC53" s="230"/>
      <c r="AD53" s="230"/>
    </row>
    <row r="54" spans="1:30">
      <c r="A54" s="78"/>
      <c r="B54" s="78"/>
      <c r="C54" s="78"/>
      <c r="D54" s="78"/>
      <c r="E54" s="96"/>
      <c r="F54" s="191"/>
      <c r="G54" s="191"/>
      <c r="H54" s="230"/>
      <c r="I54" s="230"/>
      <c r="J54" s="230"/>
      <c r="K54" s="230"/>
      <c r="L54" s="230"/>
      <c r="M54" s="476"/>
      <c r="N54" s="476"/>
      <c r="O54" s="324"/>
      <c r="P54" s="230"/>
      <c r="Q54" s="230"/>
      <c r="R54" s="230"/>
      <c r="S54" s="230"/>
      <c r="T54" s="230"/>
      <c r="U54" s="230"/>
      <c r="V54" s="230"/>
      <c r="W54" s="230"/>
      <c r="X54" s="230"/>
      <c r="Y54" s="230"/>
      <c r="Z54" s="230"/>
      <c r="AA54" s="230"/>
      <c r="AB54" s="230"/>
      <c r="AC54" s="230"/>
      <c r="AD54" s="230"/>
    </row>
    <row r="55" spans="1:30">
      <c r="A55" s="10"/>
      <c r="B55" s="10"/>
      <c r="C55" s="10"/>
      <c r="D55" s="10"/>
      <c r="E55" s="10"/>
      <c r="F55" s="10"/>
      <c r="G55" s="10"/>
      <c r="H55" s="230"/>
      <c r="I55" s="230"/>
      <c r="J55" s="230"/>
      <c r="K55" s="230"/>
      <c r="L55" s="230"/>
      <c r="M55" s="476"/>
      <c r="N55" s="476"/>
      <c r="O55" s="324"/>
      <c r="P55" s="230"/>
      <c r="Q55" s="230"/>
      <c r="R55" s="230"/>
      <c r="S55" s="230"/>
      <c r="T55" s="230"/>
      <c r="U55" s="230"/>
      <c r="V55" s="230"/>
      <c r="W55" s="230"/>
      <c r="X55" s="230"/>
      <c r="Y55" s="230"/>
      <c r="Z55" s="230"/>
      <c r="AA55" s="230"/>
      <c r="AB55" s="230"/>
      <c r="AC55" s="230"/>
      <c r="AD55" s="230"/>
    </row>
    <row r="56" spans="1:30" ht="23.25" customHeight="1" thickBot="1">
      <c r="A56" s="13" t="s">
        <v>472</v>
      </c>
      <c r="B56" s="10"/>
      <c r="C56" s="10"/>
      <c r="D56" s="10"/>
      <c r="E56" s="10"/>
      <c r="F56" s="10"/>
      <c r="G56" s="10"/>
      <c r="H56" s="230"/>
      <c r="I56" s="230"/>
      <c r="J56" s="230"/>
      <c r="K56" s="230"/>
      <c r="L56" s="230"/>
      <c r="M56" s="476"/>
      <c r="N56" s="476"/>
      <c r="O56" s="324"/>
      <c r="P56" s="230"/>
      <c r="Q56" s="230"/>
      <c r="R56" s="230"/>
      <c r="S56" s="230"/>
      <c r="T56" s="230"/>
      <c r="U56" s="230"/>
      <c r="V56" s="230"/>
      <c r="W56" s="230"/>
      <c r="X56" s="230"/>
      <c r="Y56" s="230"/>
      <c r="Z56" s="230"/>
      <c r="AA56" s="230"/>
      <c r="AB56" s="230"/>
      <c r="AC56" s="230"/>
      <c r="AD56" s="230"/>
    </row>
    <row r="57" spans="1:30" ht="42.75" customHeight="1" thickBot="1">
      <c r="A57" s="607" t="s">
        <v>337</v>
      </c>
      <c r="B57" s="608" t="s">
        <v>0</v>
      </c>
      <c r="C57" s="608" t="s">
        <v>145</v>
      </c>
      <c r="D57" s="611" t="s">
        <v>619</v>
      </c>
      <c r="E57" s="274" t="s">
        <v>338</v>
      </c>
      <c r="F57" s="274" t="s">
        <v>339</v>
      </c>
      <c r="G57" s="275" t="s">
        <v>340</v>
      </c>
      <c r="H57" s="230"/>
      <c r="I57" s="230"/>
      <c r="J57" s="230"/>
      <c r="K57" s="230"/>
      <c r="L57" s="230"/>
      <c r="M57" s="476"/>
      <c r="N57" s="476"/>
      <c r="O57" s="324"/>
      <c r="P57" s="230"/>
      <c r="Q57" s="230"/>
      <c r="R57" s="230"/>
      <c r="S57" s="230"/>
      <c r="T57" s="230"/>
      <c r="U57" s="230"/>
      <c r="V57" s="230"/>
      <c r="W57" s="230"/>
      <c r="X57" s="230"/>
      <c r="Y57" s="230"/>
      <c r="Z57" s="230"/>
      <c r="AA57" s="230"/>
      <c r="AB57" s="230"/>
      <c r="AC57" s="230"/>
      <c r="AD57" s="230"/>
    </row>
    <row r="58" spans="1:30">
      <c r="A58" s="669" t="s">
        <v>19</v>
      </c>
      <c r="B58" s="645" t="s">
        <v>319</v>
      </c>
      <c r="C58" s="670" t="s">
        <v>753</v>
      </c>
      <c r="D58" s="671">
        <v>100</v>
      </c>
      <c r="E58" s="671">
        <f>IF($D58="","",VLOOKUP(C58,Prod_Trans_Fctrs,2,FALSE)*$D58)</f>
        <v>138.69999999999999</v>
      </c>
      <c r="F58" s="672">
        <f>IF($D58="","",VLOOKUP(C58,Prod_Trans_Fctrs,3,FALSE)*$D58)</f>
        <v>1.3</v>
      </c>
      <c r="G58" s="673">
        <f>IF($D58="","",VLOOKUP(C58,Prod_Trans_Fctrs,4,FALSE)*$D58)</f>
        <v>3.3000000000000003</v>
      </c>
      <c r="H58" s="230"/>
      <c r="I58" s="230"/>
      <c r="J58" s="230"/>
      <c r="K58" s="230"/>
      <c r="L58" s="230"/>
      <c r="M58" s="476"/>
      <c r="N58" s="476"/>
      <c r="O58" s="324"/>
      <c r="P58" s="230"/>
      <c r="Q58" s="230"/>
      <c r="R58" s="230"/>
      <c r="S58" s="230"/>
      <c r="T58" s="230"/>
      <c r="U58" s="230"/>
      <c r="V58" s="230"/>
      <c r="W58" s="230"/>
      <c r="X58" s="230"/>
      <c r="Y58" s="230"/>
      <c r="Z58" s="230"/>
      <c r="AA58" s="230"/>
      <c r="AB58" s="230"/>
      <c r="AC58" s="230"/>
      <c r="AD58" s="230"/>
    </row>
    <row r="59" spans="1:30">
      <c r="A59" s="245"/>
      <c r="B59" s="299"/>
      <c r="C59" s="297"/>
      <c r="D59" s="244"/>
      <c r="E59" s="564" t="str">
        <f t="shared" ref="E59:E96" si="3">IF($C59="","",VLOOKUP(C59,Prod_Trans_Fctrs,2,FALSE)*$D59)</f>
        <v/>
      </c>
      <c r="F59" s="235" t="str">
        <f t="shared" ref="F59:F96" si="4">IF($C59="","",VLOOKUP(C59,Prod_Trans_Fctrs,3,FALSE)*$D59)</f>
        <v/>
      </c>
      <c r="G59" s="243" t="str">
        <f t="shared" ref="G59:G96" si="5">IF($C59="","",VLOOKUP(C59,Prod_Trans_Fctrs,4,FALSE)*$D59)</f>
        <v/>
      </c>
      <c r="H59" s="230"/>
      <c r="I59" s="230"/>
      <c r="J59" s="230"/>
      <c r="K59" s="230"/>
      <c r="L59" s="230"/>
      <c r="M59" s="476"/>
      <c r="N59" s="476"/>
      <c r="O59" s="324"/>
      <c r="P59" s="230"/>
      <c r="Q59" s="230"/>
      <c r="R59" s="230"/>
      <c r="S59" s="230"/>
      <c r="T59" s="230"/>
      <c r="U59" s="230"/>
      <c r="V59" s="230"/>
      <c r="W59" s="230"/>
      <c r="X59" s="230"/>
      <c r="Y59" s="230"/>
      <c r="Z59" s="230"/>
      <c r="AA59" s="230"/>
      <c r="AB59" s="230"/>
      <c r="AC59" s="230"/>
      <c r="AD59" s="230"/>
    </row>
    <row r="60" spans="1:30">
      <c r="A60" s="133"/>
      <c r="B60" s="298"/>
      <c r="C60" s="297"/>
      <c r="D60" s="109"/>
      <c r="E60" s="5" t="str">
        <f t="shared" si="3"/>
        <v/>
      </c>
      <c r="F60" s="127" t="str">
        <f t="shared" si="4"/>
        <v/>
      </c>
      <c r="G60" s="146" t="str">
        <f t="shared" si="5"/>
        <v/>
      </c>
      <c r="H60" s="230"/>
      <c r="I60" s="230"/>
      <c r="J60" s="230"/>
      <c r="K60" s="230"/>
      <c r="L60" s="230"/>
      <c r="M60" s="476"/>
      <c r="N60" s="476"/>
      <c r="O60" s="324"/>
      <c r="P60" s="230"/>
      <c r="Q60" s="230"/>
      <c r="R60" s="230"/>
      <c r="S60" s="230"/>
      <c r="T60" s="230"/>
      <c r="U60" s="230"/>
      <c r="V60" s="230"/>
      <c r="W60" s="230"/>
      <c r="X60" s="230"/>
      <c r="Y60" s="230"/>
      <c r="Z60" s="230"/>
      <c r="AA60" s="230"/>
      <c r="AB60" s="230"/>
      <c r="AC60" s="230"/>
      <c r="AD60" s="230"/>
    </row>
    <row r="61" spans="1:30">
      <c r="A61" s="133"/>
      <c r="B61" s="298"/>
      <c r="C61" s="297"/>
      <c r="D61" s="244"/>
      <c r="E61" s="5" t="str">
        <f t="shared" si="3"/>
        <v/>
      </c>
      <c r="F61" s="127" t="str">
        <f t="shared" si="4"/>
        <v/>
      </c>
      <c r="G61" s="146" t="str">
        <f t="shared" si="5"/>
        <v/>
      </c>
      <c r="H61" s="230"/>
      <c r="I61" s="230"/>
      <c r="J61" s="230"/>
      <c r="K61" s="230"/>
      <c r="L61" s="230"/>
      <c r="M61" s="476"/>
      <c r="N61" s="476"/>
      <c r="O61" s="324"/>
      <c r="P61" s="230"/>
      <c r="Q61" s="230"/>
      <c r="R61" s="230"/>
      <c r="S61" s="230"/>
      <c r="T61" s="230"/>
      <c r="U61" s="230"/>
      <c r="V61" s="230"/>
      <c r="W61" s="230"/>
      <c r="X61" s="230"/>
      <c r="Y61" s="230"/>
      <c r="Z61" s="230"/>
      <c r="AA61" s="230"/>
      <c r="AB61" s="230"/>
      <c r="AC61" s="230"/>
      <c r="AD61" s="230"/>
    </row>
    <row r="62" spans="1:30">
      <c r="A62" s="133"/>
      <c r="B62" s="298"/>
      <c r="C62" s="297"/>
      <c r="D62" s="109"/>
      <c r="E62" s="5" t="str">
        <f t="shared" si="3"/>
        <v/>
      </c>
      <c r="F62" s="127" t="str">
        <f t="shared" si="4"/>
        <v/>
      </c>
      <c r="G62" s="146" t="str">
        <f t="shared" si="5"/>
        <v/>
      </c>
      <c r="H62" s="230"/>
      <c r="I62" s="230"/>
      <c r="J62" s="230"/>
      <c r="K62" s="230"/>
      <c r="L62" s="230"/>
      <c r="M62" s="476"/>
      <c r="N62" s="476"/>
      <c r="O62" s="324"/>
      <c r="P62" s="230"/>
      <c r="Q62" s="230"/>
      <c r="R62" s="230"/>
      <c r="S62" s="230"/>
      <c r="T62" s="230"/>
      <c r="U62" s="230"/>
      <c r="V62" s="230"/>
      <c r="W62" s="230"/>
      <c r="X62" s="230"/>
      <c r="Y62" s="230"/>
      <c r="Z62" s="230"/>
      <c r="AA62" s="230"/>
      <c r="AB62" s="230"/>
      <c r="AC62" s="230"/>
      <c r="AD62" s="230"/>
    </row>
    <row r="63" spans="1:30">
      <c r="A63" s="133"/>
      <c r="B63" s="298"/>
      <c r="C63" s="297"/>
      <c r="D63" s="244"/>
      <c r="E63" s="5" t="str">
        <f t="shared" si="3"/>
        <v/>
      </c>
      <c r="F63" s="127" t="str">
        <f t="shared" si="4"/>
        <v/>
      </c>
      <c r="G63" s="146" t="str">
        <f t="shared" si="5"/>
        <v/>
      </c>
      <c r="H63" s="230"/>
      <c r="I63" s="230"/>
      <c r="J63" s="230"/>
      <c r="K63" s="230"/>
      <c r="L63" s="230"/>
      <c r="M63" s="476"/>
      <c r="N63" s="476"/>
      <c r="O63" s="324"/>
      <c r="P63" s="230"/>
      <c r="Q63" s="230"/>
      <c r="R63" s="230"/>
      <c r="S63" s="230"/>
      <c r="T63" s="230"/>
      <c r="U63" s="230"/>
      <c r="V63" s="230"/>
      <c r="W63" s="230"/>
      <c r="X63" s="230"/>
      <c r="Y63" s="230"/>
      <c r="Z63" s="230"/>
      <c r="AA63" s="230"/>
      <c r="AB63" s="230"/>
      <c r="AC63" s="230"/>
      <c r="AD63" s="230"/>
    </row>
    <row r="64" spans="1:30">
      <c r="A64" s="133"/>
      <c r="B64" s="298"/>
      <c r="C64" s="297"/>
      <c r="D64" s="109"/>
      <c r="E64" s="5" t="str">
        <f t="shared" si="3"/>
        <v/>
      </c>
      <c r="F64" s="127" t="str">
        <f t="shared" si="4"/>
        <v/>
      </c>
      <c r="G64" s="146" t="str">
        <f t="shared" si="5"/>
        <v/>
      </c>
      <c r="H64" s="230"/>
      <c r="I64" s="230"/>
      <c r="J64" s="230"/>
      <c r="K64" s="230"/>
      <c r="L64" s="230"/>
      <c r="M64" s="476"/>
      <c r="N64" s="476"/>
      <c r="O64" s="324"/>
      <c r="P64" s="230"/>
      <c r="Q64" s="230"/>
      <c r="R64" s="230"/>
      <c r="S64" s="230"/>
      <c r="T64" s="230"/>
      <c r="U64" s="230"/>
      <c r="V64" s="230"/>
      <c r="W64" s="230"/>
      <c r="X64" s="230"/>
      <c r="Y64" s="230"/>
      <c r="Z64" s="230"/>
      <c r="AA64" s="230"/>
      <c r="AB64" s="230"/>
      <c r="AC64" s="230"/>
      <c r="AD64" s="230"/>
    </row>
    <row r="65" spans="1:30">
      <c r="A65" s="133"/>
      <c r="B65" s="298"/>
      <c r="C65" s="297"/>
      <c r="D65" s="244"/>
      <c r="E65" s="5" t="str">
        <f t="shared" si="3"/>
        <v/>
      </c>
      <c r="F65" s="127" t="str">
        <f t="shared" si="4"/>
        <v/>
      </c>
      <c r="G65" s="146" t="str">
        <f t="shared" si="5"/>
        <v/>
      </c>
      <c r="H65" s="230"/>
      <c r="I65" s="230"/>
      <c r="J65" s="230"/>
      <c r="K65" s="230"/>
      <c r="L65" s="230"/>
      <c r="M65" s="476"/>
      <c r="N65" s="476"/>
      <c r="O65" s="324"/>
      <c r="P65" s="230"/>
      <c r="Q65" s="230"/>
      <c r="R65" s="230"/>
      <c r="S65" s="230"/>
      <c r="T65" s="230"/>
      <c r="U65" s="230"/>
      <c r="V65" s="230"/>
      <c r="W65" s="230"/>
      <c r="X65" s="230"/>
      <c r="Y65" s="230"/>
      <c r="Z65" s="230"/>
      <c r="AA65" s="230"/>
      <c r="AB65" s="230"/>
      <c r="AC65" s="230"/>
      <c r="AD65" s="230"/>
    </row>
    <row r="66" spans="1:30">
      <c r="A66" s="133"/>
      <c r="B66" s="298"/>
      <c r="C66" s="297"/>
      <c r="D66" s="109"/>
      <c r="E66" s="5" t="str">
        <f t="shared" si="3"/>
        <v/>
      </c>
      <c r="F66" s="127" t="str">
        <f t="shared" si="4"/>
        <v/>
      </c>
      <c r="G66" s="146" t="str">
        <f t="shared" si="5"/>
        <v/>
      </c>
      <c r="H66" s="230"/>
      <c r="I66" s="230"/>
      <c r="J66" s="230"/>
      <c r="K66" s="230"/>
      <c r="L66" s="230"/>
      <c r="M66" s="476"/>
      <c r="N66" s="476"/>
      <c r="O66" s="324"/>
      <c r="P66" s="230"/>
      <c r="Q66" s="230"/>
      <c r="R66" s="230"/>
      <c r="S66" s="230"/>
      <c r="T66" s="230"/>
      <c r="U66" s="230"/>
      <c r="V66" s="230"/>
      <c r="W66" s="230"/>
      <c r="X66" s="230"/>
      <c r="Y66" s="230"/>
      <c r="Z66" s="230"/>
      <c r="AA66" s="230"/>
      <c r="AB66" s="230"/>
      <c r="AC66" s="230"/>
      <c r="AD66" s="230"/>
    </row>
    <row r="67" spans="1:30">
      <c r="A67" s="133"/>
      <c r="B67" s="298"/>
      <c r="C67" s="297"/>
      <c r="D67" s="244"/>
      <c r="E67" s="5" t="str">
        <f t="shared" si="3"/>
        <v/>
      </c>
      <c r="F67" s="127" t="str">
        <f t="shared" si="4"/>
        <v/>
      </c>
      <c r="G67" s="146" t="str">
        <f t="shared" si="5"/>
        <v/>
      </c>
      <c r="H67" s="230"/>
      <c r="I67" s="230"/>
      <c r="J67" s="230"/>
      <c r="K67" s="230"/>
      <c r="L67" s="230"/>
      <c r="M67" s="476"/>
      <c r="N67" s="476"/>
      <c r="O67" s="324"/>
      <c r="P67" s="230"/>
      <c r="Q67" s="230"/>
      <c r="R67" s="230"/>
      <c r="S67" s="230"/>
      <c r="T67" s="230"/>
      <c r="U67" s="230"/>
      <c r="V67" s="230"/>
      <c r="W67" s="230"/>
      <c r="X67" s="230"/>
      <c r="Y67" s="230"/>
      <c r="Z67" s="230"/>
      <c r="AA67" s="230"/>
      <c r="AB67" s="230"/>
      <c r="AC67" s="230"/>
      <c r="AD67" s="230"/>
    </row>
    <row r="68" spans="1:30">
      <c r="A68" s="133"/>
      <c r="B68" s="298"/>
      <c r="C68" s="297"/>
      <c r="D68" s="109"/>
      <c r="E68" s="5" t="str">
        <f t="shared" si="3"/>
        <v/>
      </c>
      <c r="F68" s="127" t="str">
        <f t="shared" si="4"/>
        <v/>
      </c>
      <c r="G68" s="146" t="str">
        <f t="shared" si="5"/>
        <v/>
      </c>
      <c r="H68" s="230"/>
      <c r="I68" s="230"/>
      <c r="J68" s="230"/>
      <c r="K68" s="230"/>
      <c r="L68" s="230"/>
      <c r="M68" s="476"/>
      <c r="N68" s="476"/>
      <c r="O68" s="324"/>
      <c r="P68" s="230"/>
      <c r="Q68" s="230"/>
      <c r="R68" s="230"/>
      <c r="S68" s="230"/>
      <c r="T68" s="230"/>
      <c r="U68" s="230"/>
      <c r="V68" s="230"/>
      <c r="W68" s="230"/>
      <c r="X68" s="230"/>
      <c r="Y68" s="230"/>
      <c r="Z68" s="230"/>
      <c r="AA68" s="230"/>
      <c r="AB68" s="230"/>
      <c r="AC68" s="230"/>
      <c r="AD68" s="230"/>
    </row>
    <row r="69" spans="1:30">
      <c r="A69" s="133"/>
      <c r="B69" s="298"/>
      <c r="C69" s="297"/>
      <c r="D69" s="244"/>
      <c r="E69" s="5" t="str">
        <f t="shared" si="3"/>
        <v/>
      </c>
      <c r="F69" s="127" t="str">
        <f t="shared" si="4"/>
        <v/>
      </c>
      <c r="G69" s="146" t="str">
        <f t="shared" si="5"/>
        <v/>
      </c>
      <c r="H69" s="230"/>
      <c r="I69" s="230"/>
      <c r="J69" s="230"/>
      <c r="K69" s="230"/>
      <c r="L69" s="230"/>
      <c r="M69" s="476"/>
      <c r="N69" s="476"/>
      <c r="O69" s="324"/>
      <c r="P69" s="230"/>
      <c r="Q69" s="230"/>
      <c r="R69" s="230"/>
      <c r="S69" s="230"/>
      <c r="T69" s="230"/>
      <c r="U69" s="230"/>
      <c r="V69" s="230"/>
      <c r="W69" s="230"/>
      <c r="X69" s="230"/>
      <c r="Y69" s="230"/>
      <c r="Z69" s="230"/>
      <c r="AA69" s="230"/>
      <c r="AB69" s="230"/>
      <c r="AC69" s="230"/>
      <c r="AD69" s="230"/>
    </row>
    <row r="70" spans="1:30">
      <c r="A70" s="133"/>
      <c r="B70" s="298"/>
      <c r="C70" s="297"/>
      <c r="D70" s="109"/>
      <c r="E70" s="5" t="str">
        <f t="shared" si="3"/>
        <v/>
      </c>
      <c r="F70" s="127" t="str">
        <f t="shared" si="4"/>
        <v/>
      </c>
      <c r="G70" s="146" t="str">
        <f t="shared" si="5"/>
        <v/>
      </c>
      <c r="H70" s="230"/>
      <c r="I70" s="230"/>
      <c r="J70" s="230"/>
      <c r="K70" s="230"/>
      <c r="L70" s="230"/>
      <c r="M70" s="476"/>
      <c r="N70" s="476"/>
      <c r="O70" s="324"/>
      <c r="P70" s="230"/>
      <c r="Q70" s="230"/>
      <c r="R70" s="230"/>
      <c r="S70" s="230"/>
      <c r="T70" s="230"/>
      <c r="U70" s="230"/>
      <c r="V70" s="230"/>
      <c r="W70" s="230"/>
      <c r="X70" s="230"/>
      <c r="Y70" s="230"/>
      <c r="Z70" s="230"/>
      <c r="AA70" s="230"/>
      <c r="AB70" s="230"/>
      <c r="AC70" s="230"/>
      <c r="AD70" s="230"/>
    </row>
    <row r="71" spans="1:30">
      <c r="A71" s="133"/>
      <c r="B71" s="298"/>
      <c r="C71" s="297"/>
      <c r="D71" s="244"/>
      <c r="E71" s="5" t="str">
        <f t="shared" si="3"/>
        <v/>
      </c>
      <c r="F71" s="127" t="str">
        <f t="shared" si="4"/>
        <v/>
      </c>
      <c r="G71" s="146" t="str">
        <f t="shared" si="5"/>
        <v/>
      </c>
      <c r="H71" s="230"/>
      <c r="I71" s="230"/>
      <c r="J71" s="230"/>
      <c r="K71" s="230"/>
      <c r="L71" s="230"/>
      <c r="M71" s="476"/>
      <c r="N71" s="476"/>
      <c r="O71" s="324"/>
      <c r="P71" s="230"/>
      <c r="Q71" s="230"/>
      <c r="R71" s="230"/>
      <c r="S71" s="230"/>
      <c r="T71" s="230"/>
      <c r="U71" s="230"/>
      <c r="V71" s="230"/>
      <c r="W71" s="230"/>
      <c r="X71" s="230"/>
      <c r="Y71" s="230"/>
      <c r="Z71" s="230"/>
      <c r="AA71" s="230"/>
      <c r="AB71" s="230"/>
      <c r="AC71" s="230"/>
      <c r="AD71" s="230"/>
    </row>
    <row r="72" spans="1:30">
      <c r="A72" s="133"/>
      <c r="B72" s="298"/>
      <c r="C72" s="297"/>
      <c r="D72" s="109"/>
      <c r="E72" s="5" t="str">
        <f t="shared" si="3"/>
        <v/>
      </c>
      <c r="F72" s="127" t="str">
        <f t="shared" si="4"/>
        <v/>
      </c>
      <c r="G72" s="146" t="str">
        <f t="shared" si="5"/>
        <v/>
      </c>
      <c r="H72" s="230"/>
      <c r="I72" s="230"/>
      <c r="J72" s="230"/>
      <c r="K72" s="230"/>
      <c r="L72" s="230"/>
      <c r="M72" s="476"/>
      <c r="N72" s="476"/>
      <c r="O72" s="324"/>
      <c r="P72" s="230"/>
      <c r="Q72" s="230"/>
      <c r="R72" s="230"/>
      <c r="S72" s="230"/>
      <c r="T72" s="230"/>
      <c r="U72" s="230"/>
      <c r="V72" s="230"/>
      <c r="W72" s="230"/>
      <c r="X72" s="230"/>
      <c r="Y72" s="230"/>
      <c r="Z72" s="230"/>
      <c r="AA72" s="230"/>
      <c r="AB72" s="230"/>
      <c r="AC72" s="230"/>
      <c r="AD72" s="230"/>
    </row>
    <row r="73" spans="1:30">
      <c r="A73" s="133"/>
      <c r="B73" s="298"/>
      <c r="C73" s="297"/>
      <c r="D73" s="244"/>
      <c r="E73" s="5" t="str">
        <f t="shared" si="3"/>
        <v/>
      </c>
      <c r="F73" s="127" t="str">
        <f t="shared" si="4"/>
        <v/>
      </c>
      <c r="G73" s="146" t="str">
        <f t="shared" si="5"/>
        <v/>
      </c>
      <c r="H73" s="230"/>
      <c r="I73" s="230"/>
      <c r="J73" s="230"/>
      <c r="K73" s="230"/>
      <c r="L73" s="230"/>
      <c r="M73" s="476"/>
      <c r="N73" s="476"/>
      <c r="O73" s="324"/>
      <c r="P73" s="230"/>
      <c r="Q73" s="230"/>
      <c r="R73" s="230"/>
      <c r="S73" s="230"/>
      <c r="T73" s="230"/>
      <c r="U73" s="230"/>
      <c r="V73" s="230"/>
      <c r="W73" s="230"/>
      <c r="X73" s="230"/>
      <c r="Y73" s="230"/>
      <c r="Z73" s="230"/>
      <c r="AA73" s="230"/>
      <c r="AB73" s="230"/>
      <c r="AC73" s="230"/>
      <c r="AD73" s="230"/>
    </row>
    <row r="74" spans="1:30">
      <c r="A74" s="133"/>
      <c r="B74" s="298"/>
      <c r="C74" s="297"/>
      <c r="D74" s="109"/>
      <c r="E74" s="5" t="str">
        <f t="shared" si="3"/>
        <v/>
      </c>
      <c r="F74" s="127" t="str">
        <f t="shared" si="4"/>
        <v/>
      </c>
      <c r="G74" s="146" t="str">
        <f t="shared" si="5"/>
        <v/>
      </c>
      <c r="H74" s="230"/>
      <c r="I74" s="230"/>
      <c r="J74" s="230"/>
      <c r="K74" s="230"/>
      <c r="L74" s="230"/>
      <c r="M74" s="476"/>
      <c r="N74" s="476"/>
      <c r="O74" s="324"/>
      <c r="P74" s="230"/>
      <c r="Q74" s="230"/>
      <c r="R74" s="230"/>
      <c r="S74" s="230"/>
      <c r="T74" s="230"/>
      <c r="U74" s="230"/>
      <c r="V74" s="230"/>
      <c r="W74" s="230"/>
      <c r="X74" s="230"/>
      <c r="Y74" s="230"/>
      <c r="Z74" s="230"/>
      <c r="AA74" s="230"/>
      <c r="AB74" s="230"/>
      <c r="AC74" s="230"/>
      <c r="AD74" s="230"/>
    </row>
    <row r="75" spans="1:30">
      <c r="A75" s="133"/>
      <c r="B75" s="298"/>
      <c r="C75" s="297"/>
      <c r="D75" s="244"/>
      <c r="E75" s="5" t="str">
        <f t="shared" si="3"/>
        <v/>
      </c>
      <c r="F75" s="127" t="str">
        <f t="shared" si="4"/>
        <v/>
      </c>
      <c r="G75" s="146" t="str">
        <f t="shared" si="5"/>
        <v/>
      </c>
      <c r="H75" s="230"/>
      <c r="I75" s="230"/>
      <c r="J75" s="230"/>
      <c r="K75" s="230"/>
      <c r="L75" s="230"/>
      <c r="M75" s="476"/>
      <c r="N75" s="476"/>
      <c r="O75" s="324"/>
      <c r="P75" s="230"/>
      <c r="Q75" s="230"/>
      <c r="R75" s="230"/>
      <c r="S75" s="230"/>
      <c r="T75" s="230"/>
      <c r="U75" s="230"/>
      <c r="V75" s="230"/>
      <c r="W75" s="230"/>
      <c r="X75" s="230"/>
      <c r="Y75" s="230"/>
      <c r="Z75" s="230"/>
      <c r="AA75" s="230"/>
      <c r="AB75" s="230"/>
      <c r="AC75" s="230"/>
      <c r="AD75" s="230"/>
    </row>
    <row r="76" spans="1:30">
      <c r="A76" s="133"/>
      <c r="B76" s="298"/>
      <c r="C76" s="297"/>
      <c r="D76" s="109"/>
      <c r="E76" s="5" t="str">
        <f t="shared" si="3"/>
        <v/>
      </c>
      <c r="F76" s="127" t="str">
        <f t="shared" si="4"/>
        <v/>
      </c>
      <c r="G76" s="146" t="str">
        <f t="shared" si="5"/>
        <v/>
      </c>
      <c r="H76" s="230"/>
      <c r="I76" s="230"/>
      <c r="J76" s="230"/>
      <c r="K76" s="230"/>
      <c r="L76" s="230"/>
      <c r="M76" s="476"/>
      <c r="N76" s="476"/>
      <c r="O76" s="324"/>
      <c r="P76" s="230"/>
      <c r="Q76" s="230"/>
      <c r="R76" s="230"/>
      <c r="S76" s="230"/>
      <c r="T76" s="230"/>
      <c r="U76" s="230"/>
      <c r="V76" s="230"/>
      <c r="W76" s="230"/>
      <c r="X76" s="230"/>
      <c r="Y76" s="230"/>
      <c r="Z76" s="230"/>
      <c r="AA76" s="230"/>
      <c r="AB76" s="230"/>
      <c r="AC76" s="230"/>
      <c r="AD76" s="230"/>
    </row>
    <row r="77" spans="1:30">
      <c r="A77" s="133"/>
      <c r="B77" s="298"/>
      <c r="C77" s="297"/>
      <c r="D77" s="244"/>
      <c r="E77" s="5" t="str">
        <f t="shared" si="3"/>
        <v/>
      </c>
      <c r="F77" s="127" t="str">
        <f t="shared" si="4"/>
        <v/>
      </c>
      <c r="G77" s="146" t="str">
        <f t="shared" si="5"/>
        <v/>
      </c>
      <c r="H77" s="230"/>
      <c r="I77" s="230"/>
      <c r="J77" s="230"/>
      <c r="K77" s="230"/>
      <c r="L77" s="230"/>
      <c r="M77" s="476"/>
      <c r="N77" s="476"/>
      <c r="O77" s="324"/>
      <c r="P77" s="230"/>
      <c r="Q77" s="230"/>
      <c r="R77" s="230"/>
      <c r="S77" s="230"/>
      <c r="T77" s="230"/>
      <c r="U77" s="230"/>
      <c r="V77" s="230"/>
      <c r="W77" s="230"/>
      <c r="X77" s="230"/>
      <c r="Y77" s="230"/>
      <c r="Z77" s="230"/>
      <c r="AA77" s="230"/>
      <c r="AB77" s="230"/>
      <c r="AC77" s="230"/>
      <c r="AD77" s="230"/>
    </row>
    <row r="78" spans="1:30">
      <c r="A78" s="133"/>
      <c r="B78" s="298"/>
      <c r="C78" s="297"/>
      <c r="D78" s="109"/>
      <c r="E78" s="5" t="str">
        <f t="shared" si="3"/>
        <v/>
      </c>
      <c r="F78" s="127" t="str">
        <f t="shared" si="4"/>
        <v/>
      </c>
      <c r="G78" s="146" t="str">
        <f t="shared" si="5"/>
        <v/>
      </c>
      <c r="H78" s="230"/>
      <c r="I78" s="230"/>
      <c r="J78" s="230"/>
      <c r="K78" s="230"/>
      <c r="L78" s="230"/>
      <c r="M78" s="476"/>
      <c r="N78" s="476"/>
      <c r="O78" s="324"/>
      <c r="P78" s="230"/>
      <c r="Q78" s="230"/>
      <c r="R78" s="230"/>
      <c r="S78" s="230"/>
      <c r="T78" s="230"/>
      <c r="U78" s="230"/>
      <c r="V78" s="230"/>
      <c r="W78" s="230"/>
      <c r="X78" s="230"/>
      <c r="Y78" s="230"/>
      <c r="Z78" s="230"/>
      <c r="AA78" s="230"/>
      <c r="AB78" s="230"/>
      <c r="AC78" s="230"/>
      <c r="AD78" s="230"/>
    </row>
    <row r="79" spans="1:30">
      <c r="A79" s="133"/>
      <c r="B79" s="298"/>
      <c r="C79" s="297"/>
      <c r="D79" s="244"/>
      <c r="E79" s="5" t="str">
        <f t="shared" si="3"/>
        <v/>
      </c>
      <c r="F79" s="127" t="str">
        <f t="shared" si="4"/>
        <v/>
      </c>
      <c r="G79" s="146" t="str">
        <f t="shared" si="5"/>
        <v/>
      </c>
      <c r="H79" s="230"/>
      <c r="I79" s="230"/>
      <c r="J79" s="230"/>
      <c r="K79" s="230"/>
      <c r="L79" s="230"/>
      <c r="M79" s="476"/>
      <c r="N79" s="476"/>
      <c r="O79" s="324"/>
      <c r="P79" s="230"/>
      <c r="Q79" s="230"/>
      <c r="R79" s="230"/>
      <c r="S79" s="230"/>
      <c r="T79" s="230"/>
      <c r="U79" s="230"/>
      <c r="V79" s="230"/>
      <c r="W79" s="230"/>
      <c r="X79" s="230"/>
      <c r="Y79" s="230"/>
      <c r="Z79" s="230"/>
      <c r="AA79" s="230"/>
      <c r="AB79" s="230"/>
      <c r="AC79" s="230"/>
      <c r="AD79" s="230"/>
    </row>
    <row r="80" spans="1:30">
      <c r="A80" s="133"/>
      <c r="B80" s="298"/>
      <c r="C80" s="297"/>
      <c r="D80" s="109"/>
      <c r="E80" s="5" t="str">
        <f t="shared" si="3"/>
        <v/>
      </c>
      <c r="F80" s="127" t="str">
        <f t="shared" si="4"/>
        <v/>
      </c>
      <c r="G80" s="146" t="str">
        <f t="shared" si="5"/>
        <v/>
      </c>
      <c r="H80" s="230"/>
      <c r="I80" s="230"/>
      <c r="J80" s="230"/>
      <c r="K80" s="230"/>
      <c r="L80" s="230"/>
      <c r="M80" s="476"/>
      <c r="N80" s="476"/>
      <c r="O80" s="324"/>
      <c r="P80" s="230"/>
      <c r="Q80" s="230"/>
      <c r="R80" s="230"/>
      <c r="S80" s="230"/>
      <c r="T80" s="230"/>
      <c r="U80" s="230"/>
      <c r="V80" s="230"/>
      <c r="W80" s="230"/>
      <c r="X80" s="230"/>
      <c r="Y80" s="230"/>
      <c r="Z80" s="230"/>
      <c r="AA80" s="230"/>
      <c r="AB80" s="230"/>
      <c r="AC80" s="230"/>
      <c r="AD80" s="230"/>
    </row>
    <row r="81" spans="1:30">
      <c r="A81" s="133"/>
      <c r="B81" s="298"/>
      <c r="C81" s="297"/>
      <c r="D81" s="244"/>
      <c r="E81" s="5" t="str">
        <f t="shared" si="3"/>
        <v/>
      </c>
      <c r="F81" s="127" t="str">
        <f t="shared" si="4"/>
        <v/>
      </c>
      <c r="G81" s="146" t="str">
        <f t="shared" si="5"/>
        <v/>
      </c>
      <c r="H81" s="230"/>
      <c r="I81" s="230"/>
      <c r="J81" s="230"/>
      <c r="K81" s="230"/>
      <c r="L81" s="230"/>
      <c r="M81" s="476"/>
      <c r="N81" s="476"/>
      <c r="O81" s="324"/>
      <c r="P81" s="230"/>
      <c r="Q81" s="230"/>
      <c r="R81" s="230"/>
      <c r="S81" s="230"/>
      <c r="T81" s="230"/>
      <c r="U81" s="230"/>
      <c r="V81" s="230"/>
      <c r="W81" s="230"/>
      <c r="X81" s="230"/>
      <c r="Y81" s="230"/>
      <c r="Z81" s="230"/>
      <c r="AA81" s="230"/>
      <c r="AB81" s="230"/>
      <c r="AC81" s="230"/>
      <c r="AD81" s="230"/>
    </row>
    <row r="82" spans="1:30">
      <c r="A82" s="133"/>
      <c r="B82" s="298"/>
      <c r="C82" s="297"/>
      <c r="D82" s="109"/>
      <c r="E82" s="5" t="str">
        <f t="shared" si="3"/>
        <v/>
      </c>
      <c r="F82" s="127" t="str">
        <f t="shared" si="4"/>
        <v/>
      </c>
      <c r="G82" s="146" t="str">
        <f t="shared" si="5"/>
        <v/>
      </c>
      <c r="H82" s="230"/>
      <c r="I82" s="230"/>
      <c r="J82" s="230"/>
      <c r="K82" s="230"/>
      <c r="L82" s="230"/>
      <c r="M82" s="476"/>
      <c r="N82" s="476"/>
      <c r="O82" s="324"/>
      <c r="P82" s="230"/>
      <c r="Q82" s="230"/>
      <c r="R82" s="230"/>
      <c r="S82" s="230"/>
      <c r="T82" s="230"/>
      <c r="U82" s="230"/>
      <c r="V82" s="230"/>
      <c r="W82" s="230"/>
      <c r="X82" s="230"/>
      <c r="Y82" s="230"/>
      <c r="Z82" s="230"/>
      <c r="AA82" s="230"/>
      <c r="AB82" s="230"/>
      <c r="AC82" s="230"/>
      <c r="AD82" s="230"/>
    </row>
    <row r="83" spans="1:30">
      <c r="A83" s="133"/>
      <c r="B83" s="298"/>
      <c r="C83" s="297"/>
      <c r="D83" s="244"/>
      <c r="E83" s="5" t="str">
        <f t="shared" si="3"/>
        <v/>
      </c>
      <c r="F83" s="127" t="str">
        <f t="shared" si="4"/>
        <v/>
      </c>
      <c r="G83" s="146" t="str">
        <f t="shared" si="5"/>
        <v/>
      </c>
      <c r="H83" s="230"/>
      <c r="I83" s="230"/>
      <c r="J83" s="230"/>
      <c r="K83" s="257"/>
      <c r="L83" s="230"/>
      <c r="M83" s="476"/>
      <c r="N83" s="476"/>
      <c r="O83" s="324"/>
      <c r="P83" s="230"/>
      <c r="Q83" s="230"/>
      <c r="R83" s="230"/>
      <c r="S83" s="230"/>
      <c r="T83" s="230"/>
      <c r="U83" s="230"/>
      <c r="V83" s="230"/>
      <c r="W83" s="230"/>
      <c r="X83" s="230"/>
      <c r="Y83" s="230"/>
      <c r="Z83" s="230"/>
      <c r="AA83" s="230"/>
      <c r="AB83" s="230"/>
      <c r="AC83" s="230"/>
      <c r="AD83" s="230"/>
    </row>
    <row r="84" spans="1:30">
      <c r="A84" s="133"/>
      <c r="B84" s="298"/>
      <c r="C84" s="297"/>
      <c r="D84" s="109"/>
      <c r="E84" s="5" t="str">
        <f t="shared" si="3"/>
        <v/>
      </c>
      <c r="F84" s="127" t="str">
        <f t="shared" si="4"/>
        <v/>
      </c>
      <c r="G84" s="146" t="str">
        <f t="shared" si="5"/>
        <v/>
      </c>
      <c r="H84" s="230"/>
      <c r="I84" s="230"/>
      <c r="J84" s="230"/>
      <c r="K84" s="230"/>
      <c r="L84" s="230"/>
      <c r="M84" s="476"/>
      <c r="N84" s="476"/>
      <c r="O84" s="324"/>
      <c r="P84" s="230"/>
      <c r="Q84" s="230"/>
      <c r="R84" s="230"/>
      <c r="S84" s="230"/>
      <c r="T84" s="230"/>
      <c r="U84" s="230"/>
      <c r="V84" s="230"/>
      <c r="W84" s="230"/>
      <c r="X84" s="230"/>
      <c r="Y84" s="230"/>
      <c r="Z84" s="230"/>
      <c r="AA84" s="230"/>
      <c r="AB84" s="230"/>
      <c r="AC84" s="230"/>
      <c r="AD84" s="230"/>
    </row>
    <row r="85" spans="1:30">
      <c r="A85" s="133"/>
      <c r="B85" s="298"/>
      <c r="C85" s="297"/>
      <c r="D85" s="244"/>
      <c r="E85" s="5" t="str">
        <f t="shared" si="3"/>
        <v/>
      </c>
      <c r="F85" s="127" t="str">
        <f t="shared" si="4"/>
        <v/>
      </c>
      <c r="G85" s="146" t="str">
        <f t="shared" si="5"/>
        <v/>
      </c>
      <c r="H85" s="230"/>
      <c r="I85" s="230"/>
      <c r="J85" s="230"/>
      <c r="K85" s="230"/>
      <c r="L85" s="230"/>
      <c r="M85" s="476"/>
      <c r="N85" s="476"/>
      <c r="O85" s="324"/>
      <c r="P85" s="230"/>
      <c r="Q85" s="230"/>
      <c r="R85" s="230"/>
      <c r="S85" s="230"/>
      <c r="T85" s="230"/>
      <c r="U85" s="230"/>
      <c r="V85" s="230"/>
      <c r="W85" s="230"/>
      <c r="X85" s="230"/>
      <c r="Y85" s="230"/>
      <c r="Z85" s="230"/>
      <c r="AA85" s="230"/>
      <c r="AB85" s="230"/>
      <c r="AC85" s="230"/>
      <c r="AD85" s="230"/>
    </row>
    <row r="86" spans="1:30">
      <c r="A86" s="133"/>
      <c r="B86" s="298"/>
      <c r="C86" s="297"/>
      <c r="D86" s="109"/>
      <c r="E86" s="5" t="str">
        <f t="shared" si="3"/>
        <v/>
      </c>
      <c r="F86" s="127" t="str">
        <f t="shared" si="4"/>
        <v/>
      </c>
      <c r="G86" s="146" t="str">
        <f t="shared" si="5"/>
        <v/>
      </c>
      <c r="H86" s="230"/>
      <c r="I86" s="230"/>
      <c r="J86" s="230"/>
      <c r="K86" s="230"/>
      <c r="L86" s="230"/>
      <c r="M86" s="476"/>
      <c r="N86" s="476"/>
      <c r="O86" s="324"/>
      <c r="P86" s="230"/>
      <c r="Q86" s="230"/>
      <c r="R86" s="230"/>
      <c r="S86" s="230"/>
      <c r="T86" s="230"/>
      <c r="U86" s="230"/>
      <c r="V86" s="230"/>
      <c r="W86" s="230"/>
      <c r="X86" s="230"/>
      <c r="Y86" s="230"/>
      <c r="Z86" s="230"/>
      <c r="AA86" s="230"/>
      <c r="AB86" s="230"/>
      <c r="AC86" s="230"/>
      <c r="AD86" s="230"/>
    </row>
    <row r="87" spans="1:30">
      <c r="A87" s="133"/>
      <c r="B87" s="298"/>
      <c r="C87" s="298"/>
      <c r="D87" s="109"/>
      <c r="E87" s="5" t="str">
        <f t="shared" si="3"/>
        <v/>
      </c>
      <c r="F87" s="127" t="str">
        <f t="shared" si="4"/>
        <v/>
      </c>
      <c r="G87" s="146" t="str">
        <f t="shared" si="5"/>
        <v/>
      </c>
      <c r="H87" s="230"/>
      <c r="I87" s="230"/>
      <c r="J87" s="230"/>
      <c r="K87" s="230"/>
      <c r="L87" s="230"/>
      <c r="M87" s="476"/>
      <c r="N87" s="476"/>
      <c r="O87" s="324"/>
      <c r="P87" s="230"/>
      <c r="Q87" s="230"/>
      <c r="R87" s="230"/>
      <c r="S87" s="230"/>
      <c r="T87" s="230"/>
      <c r="U87" s="230"/>
      <c r="V87" s="230"/>
      <c r="W87" s="230"/>
      <c r="X87" s="230"/>
      <c r="Y87" s="230"/>
      <c r="Z87" s="230"/>
      <c r="AA87" s="230"/>
      <c r="AB87" s="230"/>
      <c r="AC87" s="230"/>
      <c r="AD87" s="230"/>
    </row>
    <row r="88" spans="1:30">
      <c r="A88" s="133"/>
      <c r="B88" s="298"/>
      <c r="C88" s="298"/>
      <c r="D88" s="109"/>
      <c r="E88" s="5" t="str">
        <f t="shared" si="3"/>
        <v/>
      </c>
      <c r="F88" s="127" t="str">
        <f t="shared" si="4"/>
        <v/>
      </c>
      <c r="G88" s="146" t="str">
        <f t="shared" si="5"/>
        <v/>
      </c>
      <c r="H88" s="230"/>
      <c r="I88" s="230"/>
      <c r="J88" s="230"/>
      <c r="K88" s="230"/>
      <c r="L88" s="230"/>
      <c r="M88" s="476"/>
      <c r="N88" s="476"/>
      <c r="O88" s="324"/>
      <c r="P88" s="230"/>
      <c r="Q88" s="230"/>
      <c r="R88" s="230"/>
      <c r="S88" s="230"/>
      <c r="T88" s="230"/>
      <c r="U88" s="230"/>
      <c r="V88" s="230"/>
      <c r="W88" s="230"/>
      <c r="X88" s="230"/>
      <c r="Y88" s="230"/>
      <c r="Z88" s="230"/>
      <c r="AA88" s="230"/>
      <c r="AB88" s="230"/>
      <c r="AC88" s="230"/>
      <c r="AD88" s="230"/>
    </row>
    <row r="89" spans="1:30">
      <c r="A89" s="133"/>
      <c r="B89" s="298"/>
      <c r="C89" s="298"/>
      <c r="D89" s="109"/>
      <c r="E89" s="5" t="str">
        <f t="shared" si="3"/>
        <v/>
      </c>
      <c r="F89" s="127" t="str">
        <f t="shared" si="4"/>
        <v/>
      </c>
      <c r="G89" s="146" t="str">
        <f t="shared" si="5"/>
        <v/>
      </c>
      <c r="H89" s="230"/>
      <c r="I89" s="230"/>
      <c r="J89" s="230"/>
      <c r="K89" s="230"/>
      <c r="L89" s="230"/>
      <c r="M89" s="476"/>
      <c r="N89" s="476"/>
      <c r="O89" s="324"/>
      <c r="P89" s="230"/>
      <c r="Q89" s="230"/>
      <c r="R89" s="230"/>
      <c r="S89" s="230"/>
      <c r="T89" s="230"/>
      <c r="U89" s="230"/>
      <c r="V89" s="230"/>
      <c r="W89" s="230"/>
      <c r="X89" s="230"/>
      <c r="Y89" s="230"/>
      <c r="Z89" s="230"/>
      <c r="AA89" s="230"/>
      <c r="AB89" s="230"/>
      <c r="AC89" s="230"/>
      <c r="AD89" s="230"/>
    </row>
    <row r="90" spans="1:30">
      <c r="A90" s="133"/>
      <c r="B90" s="298"/>
      <c r="C90" s="298"/>
      <c r="D90" s="109"/>
      <c r="E90" s="5" t="str">
        <f t="shared" si="3"/>
        <v/>
      </c>
      <c r="F90" s="127" t="str">
        <f t="shared" si="4"/>
        <v/>
      </c>
      <c r="G90" s="146" t="str">
        <f t="shared" si="5"/>
        <v/>
      </c>
      <c r="H90" s="230"/>
      <c r="I90" s="230"/>
      <c r="J90" s="230"/>
      <c r="K90" s="230"/>
      <c r="L90" s="230"/>
      <c r="M90" s="476"/>
      <c r="N90" s="476"/>
      <c r="O90" s="324"/>
      <c r="P90" s="230"/>
      <c r="Q90" s="230"/>
      <c r="R90" s="230"/>
      <c r="S90" s="230"/>
      <c r="T90" s="230"/>
      <c r="U90" s="230"/>
      <c r="V90" s="230"/>
      <c r="W90" s="230"/>
      <c r="X90" s="230"/>
      <c r="Y90" s="230"/>
      <c r="Z90" s="230"/>
      <c r="AA90" s="230"/>
      <c r="AB90" s="230"/>
      <c r="AC90" s="230"/>
      <c r="AD90" s="230"/>
    </row>
    <row r="91" spans="1:30">
      <c r="A91" s="133"/>
      <c r="B91" s="298"/>
      <c r="C91" s="298"/>
      <c r="D91" s="109"/>
      <c r="E91" s="5" t="str">
        <f t="shared" si="3"/>
        <v/>
      </c>
      <c r="F91" s="127" t="str">
        <f t="shared" si="4"/>
        <v/>
      </c>
      <c r="G91" s="146" t="str">
        <f t="shared" si="5"/>
        <v/>
      </c>
      <c r="H91" s="230"/>
      <c r="I91" s="230"/>
      <c r="J91" s="230"/>
      <c r="K91" s="230"/>
      <c r="L91" s="230"/>
      <c r="M91" s="476"/>
      <c r="N91" s="476"/>
      <c r="O91" s="324"/>
      <c r="P91" s="230"/>
      <c r="Q91" s="230"/>
      <c r="R91" s="230"/>
      <c r="S91" s="230"/>
      <c r="T91" s="230"/>
      <c r="U91" s="230"/>
      <c r="V91" s="230"/>
      <c r="W91" s="230"/>
      <c r="X91" s="230"/>
      <c r="Y91" s="230"/>
      <c r="Z91" s="230"/>
      <c r="AA91" s="230"/>
      <c r="AB91" s="230"/>
      <c r="AC91" s="230"/>
      <c r="AD91" s="230"/>
    </row>
    <row r="92" spans="1:30">
      <c r="A92" s="133"/>
      <c r="B92" s="298"/>
      <c r="C92" s="298"/>
      <c r="D92" s="109"/>
      <c r="E92" s="5" t="str">
        <f t="shared" si="3"/>
        <v/>
      </c>
      <c r="F92" s="127" t="str">
        <f t="shared" si="4"/>
        <v/>
      </c>
      <c r="G92" s="146" t="str">
        <f t="shared" si="5"/>
        <v/>
      </c>
      <c r="H92" s="230"/>
      <c r="I92" s="230"/>
      <c r="J92" s="230"/>
      <c r="K92" s="230"/>
      <c r="L92" s="230"/>
      <c r="M92" s="476"/>
      <c r="N92" s="476"/>
      <c r="O92" s="324"/>
      <c r="P92" s="230"/>
      <c r="Q92" s="230"/>
      <c r="R92" s="230"/>
      <c r="S92" s="230"/>
      <c r="T92" s="230"/>
      <c r="U92" s="230"/>
      <c r="V92" s="230"/>
      <c r="W92" s="230"/>
      <c r="X92" s="230"/>
      <c r="Y92" s="230"/>
      <c r="Z92" s="230"/>
      <c r="AA92" s="230"/>
      <c r="AB92" s="230"/>
      <c r="AC92" s="230"/>
      <c r="AD92" s="230"/>
    </row>
    <row r="93" spans="1:30">
      <c r="A93" s="133"/>
      <c r="B93" s="298"/>
      <c r="C93" s="298"/>
      <c r="D93" s="109"/>
      <c r="E93" s="5" t="str">
        <f t="shared" si="3"/>
        <v/>
      </c>
      <c r="F93" s="127" t="str">
        <f t="shared" si="4"/>
        <v/>
      </c>
      <c r="G93" s="146" t="str">
        <f t="shared" si="5"/>
        <v/>
      </c>
      <c r="H93" s="230"/>
      <c r="I93" s="230"/>
      <c r="J93" s="230"/>
      <c r="K93" s="230"/>
      <c r="L93" s="230"/>
      <c r="M93" s="476"/>
      <c r="N93" s="476"/>
      <c r="O93" s="324"/>
      <c r="P93" s="230"/>
      <c r="Q93" s="230"/>
      <c r="R93" s="230"/>
      <c r="S93" s="230"/>
      <c r="T93" s="230"/>
      <c r="U93" s="230"/>
      <c r="V93" s="230"/>
      <c r="W93" s="230"/>
      <c r="X93" s="230"/>
      <c r="Y93" s="230"/>
      <c r="Z93" s="230"/>
      <c r="AA93" s="230"/>
      <c r="AB93" s="230"/>
      <c r="AC93" s="230"/>
      <c r="AD93" s="230"/>
    </row>
    <row r="94" spans="1:30">
      <c r="A94" s="133"/>
      <c r="B94" s="298"/>
      <c r="C94" s="298"/>
      <c r="D94" s="109"/>
      <c r="E94" s="5" t="str">
        <f t="shared" si="3"/>
        <v/>
      </c>
      <c r="F94" s="127" t="str">
        <f t="shared" si="4"/>
        <v/>
      </c>
      <c r="G94" s="146" t="str">
        <f t="shared" si="5"/>
        <v/>
      </c>
      <c r="H94" s="230"/>
      <c r="I94" s="230"/>
      <c r="J94" s="230"/>
      <c r="K94" s="230"/>
      <c r="L94" s="230"/>
      <c r="M94" s="476"/>
      <c r="N94" s="476"/>
      <c r="O94" s="324"/>
      <c r="P94" s="230"/>
      <c r="Q94" s="230"/>
      <c r="R94" s="230"/>
      <c r="S94" s="230"/>
      <c r="T94" s="230"/>
      <c r="U94" s="230"/>
      <c r="V94" s="230"/>
      <c r="W94" s="230"/>
      <c r="X94" s="230"/>
      <c r="Y94" s="230"/>
      <c r="Z94" s="230"/>
      <c r="AA94" s="230"/>
      <c r="AB94" s="230"/>
      <c r="AC94" s="230"/>
      <c r="AD94" s="230"/>
    </row>
    <row r="95" spans="1:30">
      <c r="A95" s="133"/>
      <c r="B95" s="298"/>
      <c r="C95" s="298"/>
      <c r="D95" s="109"/>
      <c r="E95" s="5" t="str">
        <f t="shared" si="3"/>
        <v/>
      </c>
      <c r="F95" s="127" t="str">
        <f t="shared" si="4"/>
        <v/>
      </c>
      <c r="G95" s="146" t="str">
        <f t="shared" si="5"/>
        <v/>
      </c>
      <c r="H95" s="230"/>
      <c r="I95" s="230"/>
      <c r="J95" s="230"/>
      <c r="K95" s="230"/>
      <c r="L95" s="230"/>
      <c r="M95" s="476"/>
      <c r="N95" s="476"/>
      <c r="O95" s="324"/>
      <c r="P95" s="230"/>
      <c r="Q95" s="230"/>
      <c r="R95" s="230"/>
      <c r="S95" s="230"/>
      <c r="T95" s="230"/>
      <c r="U95" s="230"/>
      <c r="V95" s="230"/>
      <c r="W95" s="230"/>
      <c r="X95" s="230"/>
      <c r="Y95" s="230"/>
      <c r="Z95" s="230"/>
      <c r="AA95" s="230"/>
      <c r="AB95" s="230"/>
      <c r="AC95" s="230"/>
      <c r="AD95" s="230"/>
    </row>
    <row r="96" spans="1:30" ht="13.5" thickBot="1">
      <c r="A96" s="134"/>
      <c r="B96" s="306"/>
      <c r="C96" s="306"/>
      <c r="D96" s="184"/>
      <c r="E96" s="114" t="str">
        <f t="shared" si="3"/>
        <v/>
      </c>
      <c r="F96" s="280" t="str">
        <f t="shared" si="4"/>
        <v/>
      </c>
      <c r="G96" s="147" t="str">
        <f t="shared" si="5"/>
        <v/>
      </c>
      <c r="H96" s="230"/>
      <c r="I96" s="230"/>
      <c r="J96" s="230"/>
      <c r="K96" s="230"/>
      <c r="L96" s="230"/>
      <c r="M96" s="476"/>
      <c r="N96" s="476"/>
      <c r="O96" s="324"/>
      <c r="P96" s="230"/>
      <c r="Q96" s="230"/>
      <c r="R96" s="230"/>
      <c r="S96" s="230"/>
      <c r="T96" s="230"/>
      <c r="U96" s="230"/>
      <c r="V96" s="230"/>
      <c r="W96" s="230"/>
      <c r="X96" s="230"/>
      <c r="Y96" s="230"/>
      <c r="Z96" s="230"/>
      <c r="AA96" s="230"/>
      <c r="AB96" s="230"/>
      <c r="AC96" s="230"/>
      <c r="AD96" s="230"/>
    </row>
    <row r="97" spans="1:30" ht="13.5" thickBot="1">
      <c r="A97" s="301" t="s">
        <v>342</v>
      </c>
      <c r="B97" s="278"/>
      <c r="C97" s="278"/>
      <c r="D97" s="302"/>
      <c r="E97" s="303">
        <f>SUM(E59:E96)</f>
        <v>0</v>
      </c>
      <c r="F97" s="304">
        <f>SUM(F59:F96)</f>
        <v>0</v>
      </c>
      <c r="G97" s="305">
        <f>SUM(G59:G96)</f>
        <v>0</v>
      </c>
      <c r="H97" s="230"/>
      <c r="I97" s="230"/>
      <c r="J97" s="230"/>
      <c r="K97" s="230"/>
      <c r="L97" s="230"/>
      <c r="M97" s="476"/>
      <c r="N97" s="476"/>
      <c r="O97" s="324"/>
      <c r="P97" s="230"/>
      <c r="Q97" s="230"/>
      <c r="R97" s="230"/>
      <c r="S97" s="230"/>
      <c r="T97" s="230"/>
      <c r="U97" s="230"/>
      <c r="V97" s="230"/>
      <c r="W97" s="230"/>
      <c r="X97" s="230"/>
      <c r="Y97" s="230"/>
      <c r="Z97" s="230"/>
      <c r="AA97" s="230"/>
      <c r="AB97" s="230"/>
      <c r="AC97" s="230"/>
      <c r="AD97" s="230"/>
    </row>
    <row r="98" spans="1:30">
      <c r="A98" s="260"/>
      <c r="B98" s="324"/>
      <c r="C98" s="324"/>
      <c r="D98" s="324"/>
      <c r="E98" s="326"/>
      <c r="F98" s="327"/>
      <c r="G98" s="327"/>
      <c r="H98" s="230"/>
      <c r="I98" s="230"/>
      <c r="J98" s="230"/>
      <c r="K98" s="230"/>
      <c r="L98" s="230"/>
      <c r="M98" s="476"/>
      <c r="N98" s="476"/>
      <c r="O98" s="324"/>
      <c r="P98" s="230"/>
      <c r="Q98" s="230"/>
      <c r="R98" s="230"/>
      <c r="S98" s="230"/>
      <c r="T98" s="230"/>
      <c r="U98" s="230"/>
      <c r="V98" s="230"/>
      <c r="W98" s="230"/>
      <c r="X98" s="230"/>
      <c r="Y98" s="230"/>
      <c r="Z98" s="230"/>
      <c r="AA98" s="230"/>
      <c r="AB98" s="230"/>
      <c r="AC98" s="230"/>
      <c r="AD98" s="230"/>
    </row>
    <row r="99" spans="1:30">
      <c r="A99" s="361" t="s">
        <v>377</v>
      </c>
      <c r="B99" s="321"/>
      <c r="C99" s="321"/>
      <c r="D99" s="321"/>
      <c r="E99" s="322"/>
      <c r="F99" s="323"/>
      <c r="G99" s="323"/>
      <c r="H99" s="230"/>
      <c r="I99" s="230"/>
      <c r="J99" s="230"/>
      <c r="K99" s="230"/>
      <c r="L99" s="230"/>
      <c r="M99" s="476"/>
      <c r="N99" s="476"/>
      <c r="O99" s="324"/>
      <c r="P99" s="230"/>
      <c r="Q99" s="230"/>
      <c r="R99" s="230"/>
      <c r="S99" s="230"/>
      <c r="T99" s="230"/>
      <c r="U99" s="230"/>
      <c r="V99" s="230"/>
      <c r="W99" s="230"/>
      <c r="X99" s="230"/>
      <c r="Y99" s="230"/>
      <c r="Z99" s="230"/>
      <c r="AA99" s="230"/>
      <c r="AB99" s="230"/>
      <c r="AC99" s="230"/>
      <c r="AD99" s="230"/>
    </row>
    <row r="100" spans="1:30">
      <c r="A100" s="362"/>
      <c r="B100" s="324"/>
      <c r="C100" s="324"/>
      <c r="D100" s="324"/>
      <c r="E100" s="326"/>
      <c r="F100" s="327"/>
      <c r="G100" s="327"/>
      <c r="H100" s="230"/>
      <c r="I100" s="230"/>
      <c r="J100" s="230"/>
      <c r="K100" s="230"/>
      <c r="L100" s="230"/>
      <c r="M100" s="476"/>
      <c r="N100" s="476"/>
      <c r="O100" s="324"/>
      <c r="P100" s="230"/>
      <c r="Q100" s="230"/>
      <c r="R100" s="230"/>
      <c r="S100" s="230"/>
      <c r="T100" s="230"/>
      <c r="U100" s="230"/>
      <c r="V100" s="230"/>
      <c r="W100" s="230"/>
      <c r="X100" s="230"/>
      <c r="Y100" s="230"/>
      <c r="Z100" s="230"/>
      <c r="AA100" s="230"/>
      <c r="AB100" s="230"/>
      <c r="AC100" s="230"/>
      <c r="AD100" s="230"/>
    </row>
    <row r="101" spans="1:30" ht="13.5" thickBot="1">
      <c r="A101" s="13" t="s">
        <v>358</v>
      </c>
      <c r="B101" s="10"/>
      <c r="C101" s="10"/>
      <c r="D101" s="10"/>
      <c r="E101" s="10"/>
      <c r="F101" s="10"/>
      <c r="G101" s="10"/>
      <c r="H101" s="230"/>
      <c r="I101" s="230"/>
      <c r="J101" s="230"/>
      <c r="K101" s="230"/>
      <c r="L101" s="230"/>
      <c r="M101" s="476"/>
      <c r="N101" s="476"/>
      <c r="O101" s="324"/>
      <c r="P101" s="230"/>
      <c r="Q101" s="230"/>
      <c r="R101" s="230"/>
      <c r="S101" s="230"/>
      <c r="T101" s="230"/>
      <c r="U101" s="230"/>
      <c r="V101" s="230"/>
      <c r="W101" s="230"/>
      <c r="X101" s="230"/>
      <c r="Y101" s="230"/>
      <c r="Z101" s="230"/>
      <c r="AA101" s="230"/>
      <c r="AB101" s="230"/>
      <c r="AC101" s="230"/>
      <c r="AD101" s="230"/>
    </row>
    <row r="102" spans="1:30" ht="15" thickBot="1">
      <c r="A102" s="1197" t="s">
        <v>343</v>
      </c>
      <c r="B102" s="1198"/>
      <c r="C102" s="21" t="s">
        <v>344</v>
      </c>
      <c r="D102" s="21" t="s">
        <v>345</v>
      </c>
      <c r="E102" s="22" t="s">
        <v>307</v>
      </c>
      <c r="F102" s="10"/>
      <c r="G102" s="10"/>
      <c r="H102" s="230"/>
      <c r="I102" s="230"/>
      <c r="J102" s="230"/>
      <c r="K102" s="230"/>
      <c r="L102" s="230"/>
      <c r="M102" s="476"/>
      <c r="N102" s="476"/>
      <c r="O102" s="324"/>
      <c r="P102" s="230"/>
      <c r="Q102" s="230"/>
      <c r="R102" s="230"/>
      <c r="S102" s="230"/>
      <c r="T102" s="230"/>
      <c r="U102" s="230"/>
      <c r="V102" s="230"/>
      <c r="W102" s="230"/>
      <c r="X102" s="230"/>
      <c r="Y102" s="230"/>
      <c r="Z102" s="230"/>
      <c r="AA102" s="230"/>
      <c r="AB102" s="230"/>
      <c r="AC102" s="230"/>
      <c r="AD102" s="230"/>
    </row>
    <row r="103" spans="1:30">
      <c r="A103" s="1265" t="s">
        <v>753</v>
      </c>
      <c r="B103" s="1266"/>
      <c r="C103" s="270">
        <f t="shared" ref="C103:E105" si="6">SUMIF($C$15:$C$52,$A103,E$15:E$52)</f>
        <v>0</v>
      </c>
      <c r="D103" s="270">
        <f t="shared" si="6"/>
        <v>0</v>
      </c>
      <c r="E103" s="287">
        <f t="shared" si="6"/>
        <v>0</v>
      </c>
      <c r="F103" s="10"/>
      <c r="G103" s="10"/>
      <c r="H103" s="230"/>
      <c r="I103" s="230"/>
      <c r="J103" s="230"/>
      <c r="K103" s="230"/>
      <c r="L103" s="230"/>
      <c r="M103" s="476"/>
      <c r="N103" s="476"/>
      <c r="O103" s="324"/>
      <c r="P103" s="230"/>
      <c r="Q103" s="230"/>
      <c r="R103" s="230"/>
      <c r="S103" s="230"/>
      <c r="T103" s="230"/>
      <c r="U103" s="230"/>
      <c r="V103" s="230"/>
      <c r="W103" s="230"/>
      <c r="X103" s="230"/>
      <c r="Y103" s="230"/>
      <c r="Z103" s="230"/>
      <c r="AA103" s="230"/>
      <c r="AB103" s="230"/>
      <c r="AC103" s="230"/>
      <c r="AD103" s="230"/>
    </row>
    <row r="104" spans="1:30">
      <c r="A104" s="1256" t="s">
        <v>4</v>
      </c>
      <c r="B104" s="1257"/>
      <c r="C104" s="165">
        <f t="shared" si="6"/>
        <v>0</v>
      </c>
      <c r="D104" s="165">
        <f t="shared" si="6"/>
        <v>0</v>
      </c>
      <c r="E104" s="288">
        <f t="shared" si="6"/>
        <v>0</v>
      </c>
      <c r="F104" s="10"/>
      <c r="G104" s="10"/>
      <c r="H104" s="230"/>
      <c r="I104" s="230"/>
      <c r="J104" s="230"/>
      <c r="K104" s="230"/>
      <c r="L104" s="230"/>
      <c r="M104" s="476"/>
      <c r="N104" s="476"/>
      <c r="O104" s="324"/>
      <c r="P104" s="230"/>
      <c r="Q104" s="230"/>
      <c r="R104" s="230"/>
      <c r="S104" s="230"/>
      <c r="T104" s="230"/>
      <c r="U104" s="230"/>
      <c r="V104" s="230"/>
      <c r="W104" s="230"/>
      <c r="X104" s="230"/>
      <c r="Y104" s="230"/>
      <c r="Z104" s="230"/>
      <c r="AA104" s="230"/>
      <c r="AB104" s="230"/>
      <c r="AC104" s="230"/>
      <c r="AD104" s="230"/>
    </row>
    <row r="105" spans="1:30">
      <c r="A105" s="1256" t="s">
        <v>3</v>
      </c>
      <c r="B105" s="1257"/>
      <c r="C105" s="165">
        <f t="shared" si="6"/>
        <v>0</v>
      </c>
      <c r="D105" s="165">
        <f t="shared" si="6"/>
        <v>0</v>
      </c>
      <c r="E105" s="288">
        <f t="shared" si="6"/>
        <v>0</v>
      </c>
      <c r="F105" s="10"/>
      <c r="G105" s="10"/>
      <c r="H105" s="230"/>
      <c r="I105" s="230"/>
      <c r="J105" s="230"/>
      <c r="K105" s="230"/>
      <c r="L105" s="230"/>
      <c r="M105" s="476"/>
      <c r="N105" s="476"/>
      <c r="O105" s="324"/>
      <c r="P105" s="230"/>
      <c r="Q105" s="230"/>
      <c r="R105" s="230"/>
      <c r="S105" s="230"/>
      <c r="T105" s="230"/>
      <c r="U105" s="230"/>
      <c r="V105" s="230"/>
      <c r="W105" s="230"/>
      <c r="X105" s="230"/>
      <c r="Y105" s="230"/>
      <c r="Z105" s="230"/>
      <c r="AA105" s="230"/>
      <c r="AB105" s="230"/>
      <c r="AC105" s="230"/>
      <c r="AD105" s="230"/>
    </row>
    <row r="106" spans="1:30">
      <c r="A106" s="1256" t="s">
        <v>320</v>
      </c>
      <c r="B106" s="1257"/>
      <c r="C106" s="165">
        <f t="shared" ref="C106:E109" si="7">SUMIF($C$59:$C$96,$A106,E$59:E$96)</f>
        <v>0</v>
      </c>
      <c r="D106" s="165">
        <f t="shared" si="7"/>
        <v>0</v>
      </c>
      <c r="E106" s="288">
        <f t="shared" si="7"/>
        <v>0</v>
      </c>
      <c r="F106" s="10"/>
      <c r="G106" s="10"/>
      <c r="H106" s="230"/>
      <c r="I106" s="230"/>
      <c r="J106" s="230"/>
      <c r="K106" s="230"/>
      <c r="L106" s="230"/>
      <c r="M106" s="476"/>
      <c r="N106" s="476"/>
      <c r="O106" s="324"/>
      <c r="P106" s="230"/>
      <c r="Q106" s="230"/>
      <c r="R106" s="230"/>
      <c r="S106" s="230"/>
      <c r="T106" s="230"/>
      <c r="U106" s="230"/>
      <c r="V106" s="230"/>
      <c r="W106" s="230"/>
      <c r="X106" s="230"/>
      <c r="Y106" s="230"/>
      <c r="Z106" s="230"/>
      <c r="AA106" s="230"/>
      <c r="AB106" s="230"/>
      <c r="AC106" s="230"/>
      <c r="AD106" s="230"/>
    </row>
    <row r="107" spans="1:30">
      <c r="A107" s="1256" t="s">
        <v>325</v>
      </c>
      <c r="B107" s="1257"/>
      <c r="C107" s="165">
        <f t="shared" si="7"/>
        <v>0</v>
      </c>
      <c r="D107" s="165">
        <f t="shared" si="7"/>
        <v>0</v>
      </c>
      <c r="E107" s="288">
        <f t="shared" si="7"/>
        <v>0</v>
      </c>
      <c r="F107" s="10"/>
      <c r="G107" s="10"/>
      <c r="H107" s="230"/>
      <c r="I107" s="230"/>
      <c r="J107" s="230"/>
      <c r="K107" s="230"/>
      <c r="L107" s="230"/>
      <c r="M107" s="476"/>
      <c r="N107" s="476"/>
      <c r="O107" s="324"/>
      <c r="P107" s="230"/>
      <c r="Q107" s="230"/>
      <c r="R107" s="230"/>
      <c r="S107" s="230"/>
      <c r="T107" s="230"/>
      <c r="U107" s="230"/>
      <c r="V107" s="230"/>
      <c r="W107" s="230"/>
      <c r="X107" s="230"/>
      <c r="Y107" s="230"/>
      <c r="Z107" s="230"/>
      <c r="AA107" s="230"/>
      <c r="AB107" s="230"/>
      <c r="AC107" s="230"/>
      <c r="AD107" s="230"/>
    </row>
    <row r="108" spans="1:30">
      <c r="A108" s="1256" t="s">
        <v>257</v>
      </c>
      <c r="B108" s="1257"/>
      <c r="C108" s="165">
        <f t="shared" si="7"/>
        <v>0</v>
      </c>
      <c r="D108" s="165">
        <f t="shared" si="7"/>
        <v>0</v>
      </c>
      <c r="E108" s="288">
        <f t="shared" si="7"/>
        <v>0</v>
      </c>
      <c r="F108" s="10"/>
      <c r="G108" s="10"/>
      <c r="H108" s="230"/>
      <c r="I108" s="230"/>
      <c r="J108" s="230"/>
      <c r="K108" s="230"/>
      <c r="L108" s="230"/>
      <c r="M108" s="476"/>
      <c r="N108" s="476"/>
      <c r="O108" s="324"/>
      <c r="P108" s="230"/>
      <c r="Q108" s="230"/>
      <c r="R108" s="230"/>
      <c r="S108" s="230"/>
      <c r="T108" s="230"/>
      <c r="U108" s="230"/>
      <c r="V108" s="230"/>
      <c r="W108" s="230"/>
      <c r="X108" s="230"/>
      <c r="Y108" s="230"/>
      <c r="Z108" s="230"/>
      <c r="AA108" s="230"/>
      <c r="AB108" s="230"/>
      <c r="AC108" s="230"/>
      <c r="AD108" s="230"/>
    </row>
    <row r="109" spans="1:30" ht="13.5" thickBot="1">
      <c r="A109" s="1258" t="s">
        <v>258</v>
      </c>
      <c r="B109" s="1259"/>
      <c r="C109" s="271">
        <f t="shared" si="7"/>
        <v>0</v>
      </c>
      <c r="D109" s="271">
        <f t="shared" si="7"/>
        <v>0</v>
      </c>
      <c r="E109" s="289">
        <f t="shared" si="7"/>
        <v>0</v>
      </c>
      <c r="F109" s="10"/>
      <c r="G109" s="10"/>
      <c r="H109" s="230"/>
      <c r="I109" s="230"/>
      <c r="J109" s="230"/>
      <c r="K109" s="230"/>
      <c r="L109" s="230"/>
      <c r="M109" s="476"/>
      <c r="N109" s="476"/>
      <c r="O109" s="324"/>
      <c r="P109" s="230"/>
      <c r="Q109" s="230"/>
      <c r="R109" s="230"/>
      <c r="S109" s="230"/>
      <c r="T109" s="230"/>
      <c r="U109" s="230"/>
      <c r="V109" s="230"/>
      <c r="W109" s="230"/>
      <c r="X109" s="230"/>
      <c r="Y109" s="230"/>
      <c r="Z109" s="230"/>
      <c r="AA109" s="230"/>
      <c r="AB109" s="230"/>
      <c r="AC109" s="230"/>
      <c r="AD109" s="230"/>
    </row>
    <row r="110" spans="1:30" s="7" customFormat="1" ht="13.5" thickBot="1">
      <c r="A110" s="230"/>
      <c r="B110" s="230"/>
      <c r="C110" s="230"/>
      <c r="D110" s="324"/>
      <c r="E110" s="324"/>
      <c r="F110" s="324"/>
      <c r="G110" s="324"/>
      <c r="H110" s="324"/>
      <c r="I110" s="230"/>
      <c r="J110" s="324"/>
      <c r="K110" s="324"/>
      <c r="L110" s="324"/>
      <c r="M110" s="476"/>
      <c r="N110" s="476"/>
      <c r="O110" s="324"/>
      <c r="P110" s="324"/>
      <c r="Q110" s="324"/>
      <c r="R110" s="324"/>
      <c r="S110" s="324"/>
      <c r="T110" s="324"/>
      <c r="U110" s="324"/>
      <c r="V110" s="324"/>
      <c r="W110" s="324"/>
      <c r="X110" s="324"/>
      <c r="Y110" s="324"/>
      <c r="Z110" s="324"/>
      <c r="AA110" s="324"/>
      <c r="AB110" s="324"/>
      <c r="AC110" s="324"/>
      <c r="AD110" s="324"/>
    </row>
    <row r="111" spans="1:30">
      <c r="A111" s="344"/>
      <c r="B111" s="593"/>
      <c r="C111" s="593"/>
      <c r="D111" s="594"/>
      <c r="E111" s="230"/>
      <c r="F111" s="230"/>
      <c r="G111" s="230"/>
      <c r="H111" s="230"/>
      <c r="I111" s="230"/>
      <c r="J111" s="230"/>
      <c r="K111" s="230"/>
      <c r="L111" s="230"/>
      <c r="M111" s="233"/>
      <c r="N111" s="233"/>
      <c r="O111" s="230"/>
      <c r="P111" s="230"/>
      <c r="Q111" s="230"/>
      <c r="R111" s="230"/>
      <c r="S111" s="230"/>
      <c r="T111" s="230"/>
      <c r="U111" s="230"/>
      <c r="V111" s="230"/>
      <c r="W111" s="230"/>
      <c r="X111" s="230"/>
      <c r="Y111" s="230"/>
      <c r="Z111" s="230"/>
      <c r="AA111" s="230"/>
      <c r="AB111" s="230"/>
      <c r="AC111" s="230"/>
      <c r="AD111" s="230"/>
    </row>
    <row r="112" spans="1:30" ht="15" thickBot="1">
      <c r="A112" s="345" t="s">
        <v>565</v>
      </c>
      <c r="B112" s="595"/>
      <c r="C112" s="595"/>
      <c r="D112" s="343">
        <f>(SUM(C103:C109)+SUM(D103:D109)/1000*CH4_GWP+SUM(E103:E109)/1000*N2O_GWP)/1000</f>
        <v>0</v>
      </c>
      <c r="E112" s="230"/>
      <c r="F112" s="230"/>
      <c r="G112" s="230"/>
      <c r="H112" s="230"/>
      <c r="I112" s="230"/>
      <c r="J112" s="469"/>
      <c r="K112" s="469"/>
      <c r="L112" s="230"/>
      <c r="M112" s="233"/>
      <c r="N112" s="233"/>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465"/>
      <c r="K113" s="230"/>
      <c r="L113" s="230"/>
      <c r="M113" s="233"/>
      <c r="N113" s="233"/>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3"/>
      <c r="N114" s="233"/>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3"/>
      <c r="N115" s="233"/>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3"/>
      <c r="N116" s="233"/>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3"/>
      <c r="N117" s="233"/>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3"/>
      <c r="N118" s="233"/>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3"/>
      <c r="N119" s="233"/>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3"/>
      <c r="N120" s="233"/>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3"/>
      <c r="N121" s="233"/>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3"/>
      <c r="N122" s="233"/>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3"/>
      <c r="N123" s="233"/>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3"/>
      <c r="N124" s="233"/>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3"/>
      <c r="N125" s="233"/>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3"/>
      <c r="N126" s="233"/>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3"/>
      <c r="N127" s="233"/>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3"/>
      <c r="N128" s="233"/>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3"/>
      <c r="N129" s="233"/>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3"/>
      <c r="N130" s="233"/>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3"/>
      <c r="N131" s="233"/>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3"/>
      <c r="N132" s="233"/>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3"/>
      <c r="N133" s="233"/>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3"/>
      <c r="N134" s="233"/>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3"/>
      <c r="N135" s="233"/>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3"/>
      <c r="N136" s="233"/>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3"/>
      <c r="N137" s="233"/>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3"/>
      <c r="N138" s="233"/>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3"/>
      <c r="N139" s="233"/>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3"/>
      <c r="N140" s="233"/>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3"/>
      <c r="N141" s="233"/>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3"/>
      <c r="N142" s="233"/>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3"/>
      <c r="N143" s="233"/>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3"/>
      <c r="N144" s="233"/>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3"/>
      <c r="N145" s="233"/>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3"/>
      <c r="N146" s="233"/>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3"/>
      <c r="N147" s="233"/>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3"/>
      <c r="N148" s="233"/>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3"/>
      <c r="N149" s="233"/>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3"/>
      <c r="N150" s="233"/>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3"/>
      <c r="N151" s="233"/>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3"/>
      <c r="N152" s="233"/>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3"/>
      <c r="N153" s="233"/>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3"/>
      <c r="N154" s="233"/>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3"/>
      <c r="N155" s="233"/>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3"/>
      <c r="N156" s="233"/>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3"/>
      <c r="N157" s="233"/>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3"/>
      <c r="N158" s="233"/>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3"/>
      <c r="N159" s="233"/>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3"/>
      <c r="N160" s="233"/>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3"/>
      <c r="N161" s="233"/>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3"/>
      <c r="N162" s="233"/>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3"/>
      <c r="N163" s="233"/>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3"/>
      <c r="N164" s="233"/>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3"/>
      <c r="N165" s="233"/>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3"/>
      <c r="N166" s="233"/>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3"/>
      <c r="N167" s="233"/>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3"/>
      <c r="N168" s="233"/>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3"/>
      <c r="N169" s="233"/>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3"/>
      <c r="N170" s="233"/>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3"/>
      <c r="N171" s="233"/>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3"/>
      <c r="N172" s="233"/>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3"/>
      <c r="N173" s="233"/>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3"/>
      <c r="N174" s="233"/>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3"/>
      <c r="N175" s="233"/>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3"/>
      <c r="N176" s="233"/>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3"/>
      <c r="N177" s="233"/>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3"/>
      <c r="N178" s="233"/>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3"/>
      <c r="N179" s="233"/>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3"/>
      <c r="N180" s="233"/>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3"/>
      <c r="N181" s="233"/>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3"/>
      <c r="N182" s="233"/>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3"/>
      <c r="N183" s="233"/>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3"/>
      <c r="N184" s="233"/>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3"/>
      <c r="N185" s="233"/>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3"/>
      <c r="N186" s="233"/>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3"/>
      <c r="N187" s="233"/>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3"/>
      <c r="N188" s="233"/>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3"/>
      <c r="N189" s="233"/>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3"/>
      <c r="N190" s="233"/>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3"/>
      <c r="N191" s="233"/>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3"/>
      <c r="N192" s="233"/>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3"/>
      <c r="N193" s="233"/>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3"/>
      <c r="N194" s="233"/>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3"/>
      <c r="N195" s="233"/>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3"/>
      <c r="N196" s="233"/>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3"/>
      <c r="N197" s="233"/>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3"/>
      <c r="N198" s="233"/>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3"/>
      <c r="N199" s="233"/>
      <c r="O199" s="230"/>
      <c r="P199" s="230"/>
      <c r="Q199" s="230"/>
      <c r="R199" s="230"/>
      <c r="S199" s="230"/>
      <c r="T199" s="230"/>
      <c r="U199" s="230"/>
      <c r="V199" s="230"/>
      <c r="W199" s="230"/>
      <c r="X199" s="230"/>
      <c r="Y199" s="230"/>
      <c r="Z199" s="230"/>
      <c r="AA199" s="230"/>
      <c r="AB199" s="230"/>
      <c r="AC199" s="230"/>
      <c r="AD199" s="230"/>
    </row>
    <row r="200" spans="1:30">
      <c r="A200" s="230"/>
      <c r="B200" s="230"/>
      <c r="C200" s="230"/>
      <c r="D200" s="230"/>
      <c r="E200" s="230"/>
      <c r="F200" s="230"/>
      <c r="G200" s="230"/>
      <c r="H200" s="230"/>
      <c r="I200" s="230"/>
      <c r="J200" s="230"/>
      <c r="K200" s="230"/>
      <c r="L200" s="230"/>
      <c r="M200" s="233"/>
      <c r="N200" s="233"/>
      <c r="O200" s="230"/>
      <c r="P200" s="230"/>
      <c r="Q200" s="230"/>
      <c r="R200" s="230"/>
      <c r="S200" s="230"/>
      <c r="T200" s="230"/>
      <c r="U200" s="230"/>
      <c r="V200" s="230"/>
      <c r="W200" s="230"/>
      <c r="X200" s="230"/>
      <c r="Y200" s="230"/>
      <c r="Z200" s="230"/>
      <c r="AA200" s="230"/>
      <c r="AB200" s="230"/>
      <c r="AC200" s="230"/>
      <c r="AD200" s="230"/>
    </row>
    <row r="201" spans="1:30">
      <c r="A201" s="230"/>
      <c r="B201" s="230"/>
      <c r="C201" s="230"/>
      <c r="D201" s="230"/>
      <c r="E201" s="230"/>
      <c r="F201" s="230"/>
      <c r="G201" s="230"/>
      <c r="H201" s="230"/>
      <c r="I201" s="230"/>
      <c r="J201" s="230"/>
      <c r="K201" s="230"/>
      <c r="L201" s="230"/>
      <c r="M201" s="233"/>
      <c r="N201" s="233"/>
      <c r="O201" s="230"/>
      <c r="P201" s="230"/>
      <c r="Q201" s="230"/>
      <c r="R201" s="230"/>
      <c r="S201" s="230"/>
      <c r="T201" s="230"/>
      <c r="U201" s="230"/>
      <c r="V201" s="230"/>
      <c r="W201" s="230"/>
      <c r="X201" s="230"/>
      <c r="Y201" s="230"/>
      <c r="Z201" s="230"/>
      <c r="AA201" s="230"/>
      <c r="AB201" s="230"/>
      <c r="AC201" s="230"/>
      <c r="AD201" s="230"/>
    </row>
  </sheetData>
  <sheetProtection sheet="1" objects="1" scenarios="1"/>
  <mergeCells count="10">
    <mergeCell ref="A106:B106"/>
    <mergeCell ref="A107:B107"/>
    <mergeCell ref="A108:B108"/>
    <mergeCell ref="A109:B109"/>
    <mergeCell ref="A8:G8"/>
    <mergeCell ref="A9:G9"/>
    <mergeCell ref="A102:B102"/>
    <mergeCell ref="A103:B103"/>
    <mergeCell ref="A105:B105"/>
    <mergeCell ref="A104:B104"/>
  </mergeCells>
  <phoneticPr fontId="12" type="noConversion"/>
  <dataValidations count="2">
    <dataValidation type="list" allowBlank="1" showInputMessage="1" showErrorMessage="1" sqref="C14:C52" xr:uid="{00000000-0002-0000-0D00-000000000000}">
      <formula1>Prod_Trans_VehicleMiles</formula1>
    </dataValidation>
    <dataValidation type="list" allowBlank="1" showInputMessage="1" showErrorMessage="1" sqref="C58:C96" xr:uid="{00000000-0002-0000-0D00-000001000000}">
      <formula1>Product_Trans_TonMiles</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4" max="16383" man="1"/>
    <brk id="100" max="16383" man="1"/>
  </rowBreaks>
  <colBreaks count="1" manualBreakCount="1">
    <brk id="8" max="1048575" man="1"/>
  </colBreaks>
  <drawing r:id="rId2"/>
  <legacyDrawing r:id="rId3"/>
  <controls>
    <mc:AlternateContent xmlns:mc="http://schemas.openxmlformats.org/markup-compatibility/2006">
      <mc:Choice Requires="x14">
        <control shapeId="22800" r:id="rId4" name="CommandButton1">
          <controlPr autoLine="0" r:id="rId5">
            <anchor>
              <from>
                <xdr:col>0</xdr:col>
                <xdr:colOff>714375</xdr:colOff>
                <xdr:row>0</xdr:row>
                <xdr:rowOff>142875</xdr:rowOff>
              </from>
              <to>
                <xdr:col>1</xdr:col>
                <xdr:colOff>847725</xdr:colOff>
                <xdr:row>1</xdr:row>
                <xdr:rowOff>142875</xdr:rowOff>
              </to>
            </anchor>
          </controlPr>
        </control>
      </mc:Choice>
      <mc:Fallback>
        <control shapeId="22800" r:id="rId4" name="CommandButton1"/>
      </mc:Fallback>
    </mc:AlternateContent>
    <mc:AlternateContent xmlns:mc="http://schemas.openxmlformats.org/markup-compatibility/2006">
      <mc:Choice Requires="x14">
        <control shapeId="22801" r:id="rId6" name="CommandButton2">
          <controlPr autoLine="0" r:id="rId7">
            <anchor>
              <from>
                <xdr:col>1</xdr:col>
                <xdr:colOff>1047750</xdr:colOff>
                <xdr:row>0</xdr:row>
                <xdr:rowOff>133350</xdr:rowOff>
              </from>
              <to>
                <xdr:col>2</xdr:col>
                <xdr:colOff>333375</xdr:colOff>
                <xdr:row>1</xdr:row>
                <xdr:rowOff>133350</xdr:rowOff>
              </to>
            </anchor>
          </controlPr>
        </control>
      </mc:Choice>
      <mc:Fallback>
        <control shapeId="22801" r:id="rId6" name="CommandButton2"/>
      </mc:Fallback>
    </mc:AlternateContent>
    <mc:AlternateContent xmlns:mc="http://schemas.openxmlformats.org/markup-compatibility/2006">
      <mc:Choice Requires="x14">
        <control shapeId="22802" r:id="rId8" name="CommandButton3">
          <controlPr autoLine="0" r:id="rId9">
            <anchor moveWithCells="1">
              <from>
                <xdr:col>3</xdr:col>
                <xdr:colOff>142875</xdr:colOff>
                <xdr:row>0</xdr:row>
                <xdr:rowOff>142875</xdr:rowOff>
              </from>
              <to>
                <xdr:col>4</xdr:col>
                <xdr:colOff>361950</xdr:colOff>
                <xdr:row>1</xdr:row>
                <xdr:rowOff>133350</xdr:rowOff>
              </to>
            </anchor>
          </controlPr>
        </control>
      </mc:Choice>
      <mc:Fallback>
        <control shapeId="22802" r:id="rId8" name="CommandButton3"/>
      </mc:Fallback>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53ABC-DDDA-4104-BD23-6A8C5DE0901A}">
  <sheetPr codeName="Sheet35"/>
  <dimension ref="A1:AC154"/>
  <sheetViews>
    <sheetView zoomScaleNormal="100" workbookViewId="0">
      <pane ySplit="4" topLeftCell="A5" activePane="bottomLeft" state="frozen"/>
      <selection pane="bottomLeft" activeCell="E19" sqref="E19"/>
    </sheetView>
  </sheetViews>
  <sheetFormatPr defaultRowHeight="12.75"/>
  <cols>
    <col min="1" max="1" width="47.140625" customWidth="1"/>
    <col min="2" max="2" width="30.140625" bestFit="1" customWidth="1"/>
    <col min="3" max="3" width="29.28515625" customWidth="1"/>
    <col min="4" max="4" width="10.7109375" customWidth="1"/>
    <col min="5" max="6" width="14.85546875" customWidth="1"/>
    <col min="7" max="7" width="13.85546875" customWidth="1"/>
    <col min="8" max="11" width="9.28515625" customWidth="1"/>
    <col min="12" max="13" width="9.28515625" style="180" customWidth="1"/>
    <col min="16" max="17" width="13.7109375" customWidth="1"/>
  </cols>
  <sheetData>
    <row r="1" spans="1:29"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row>
    <row r="2" spans="1:29"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row>
    <row r="3" spans="1:29" ht="15">
      <c r="A3" s="256" t="s">
        <v>1209</v>
      </c>
      <c r="B3" s="230"/>
      <c r="C3" s="230"/>
      <c r="D3" s="230"/>
      <c r="E3" s="230"/>
      <c r="F3" s="230"/>
      <c r="G3" s="230"/>
      <c r="H3" s="230"/>
      <c r="I3" s="230"/>
      <c r="J3" s="230"/>
      <c r="K3" s="230"/>
      <c r="L3" s="233"/>
      <c r="M3" s="233"/>
      <c r="N3" s="230"/>
      <c r="O3" s="230"/>
      <c r="P3" s="230"/>
      <c r="Q3" s="230"/>
      <c r="R3" s="230"/>
      <c r="S3" s="230"/>
      <c r="T3" s="230"/>
      <c r="U3" s="230"/>
      <c r="V3" s="230"/>
      <c r="W3" s="230"/>
      <c r="X3" s="230"/>
      <c r="Y3" s="230"/>
      <c r="Z3" s="230"/>
      <c r="AA3" s="230"/>
      <c r="AB3" s="230"/>
      <c r="AC3" s="230"/>
    </row>
    <row r="4" spans="1:29">
      <c r="A4" s="230"/>
      <c r="B4" s="230"/>
      <c r="C4" s="230"/>
      <c r="D4" s="230"/>
      <c r="E4" s="230"/>
      <c r="F4" s="230"/>
      <c r="G4" s="230"/>
      <c r="H4" s="230"/>
      <c r="I4" s="230"/>
      <c r="J4" s="230"/>
      <c r="K4" s="230"/>
      <c r="L4" s="233"/>
      <c r="M4" s="233"/>
      <c r="N4" s="230"/>
      <c r="O4" s="230"/>
      <c r="P4" s="230"/>
      <c r="Q4" s="230"/>
      <c r="R4" s="230"/>
      <c r="S4" s="230"/>
      <c r="T4" s="230"/>
      <c r="U4" s="230"/>
      <c r="V4" s="230"/>
      <c r="W4" s="230"/>
      <c r="X4" s="230"/>
      <c r="Y4" s="230"/>
      <c r="Z4" s="230"/>
      <c r="AA4" s="230"/>
      <c r="AB4" s="230"/>
      <c r="AC4" s="230"/>
    </row>
    <row r="5" spans="1:29">
      <c r="A5" s="229" t="s">
        <v>346</v>
      </c>
      <c r="B5" s="230"/>
      <c r="C5" s="230"/>
      <c r="D5" s="230"/>
      <c r="E5" s="230"/>
      <c r="F5" s="230"/>
      <c r="G5" s="230"/>
      <c r="H5" s="230"/>
      <c r="I5" s="230"/>
      <c r="J5" s="230"/>
      <c r="K5" s="230"/>
      <c r="L5" s="233"/>
      <c r="M5" s="233"/>
      <c r="N5" s="230"/>
      <c r="O5" s="230"/>
      <c r="P5" s="230"/>
      <c r="Q5" s="230"/>
      <c r="R5" s="230"/>
      <c r="S5" s="230"/>
      <c r="T5" s="230"/>
      <c r="U5" s="230"/>
      <c r="V5" s="230"/>
      <c r="W5" s="230"/>
      <c r="X5" s="230"/>
      <c r="Y5" s="230"/>
      <c r="Z5" s="230"/>
      <c r="AA5" s="230"/>
      <c r="AB5" s="230"/>
      <c r="AC5" s="230"/>
    </row>
    <row r="6" spans="1:29">
      <c r="A6" s="1268" t="s">
        <v>1384</v>
      </c>
      <c r="B6" s="1268"/>
      <c r="C6" s="1268"/>
      <c r="D6" s="1268"/>
      <c r="E6" s="1268"/>
      <c r="F6" s="1268"/>
      <c r="G6" s="1268"/>
      <c r="H6" s="230"/>
      <c r="I6" s="230"/>
      <c r="J6" s="230"/>
      <c r="K6" s="230"/>
      <c r="L6" s="233"/>
      <c r="M6" s="233"/>
      <c r="N6" s="230"/>
      <c r="O6" s="230"/>
      <c r="P6" s="230"/>
      <c r="Q6" s="230"/>
      <c r="R6" s="230"/>
      <c r="S6" s="230"/>
      <c r="T6" s="230"/>
      <c r="U6" s="230"/>
      <c r="V6" s="230"/>
      <c r="W6" s="230"/>
      <c r="X6" s="230"/>
      <c r="Y6" s="230"/>
      <c r="Z6" s="230"/>
      <c r="AA6" s="230"/>
      <c r="AB6" s="230"/>
      <c r="AC6" s="230"/>
    </row>
    <row r="7" spans="1:29" ht="27.6" customHeight="1">
      <c r="A7" s="1267" t="s">
        <v>1300</v>
      </c>
      <c r="B7" s="1267"/>
      <c r="C7" s="1267"/>
      <c r="D7" s="1267"/>
      <c r="E7" s="1267"/>
      <c r="F7" s="1267"/>
      <c r="G7" s="1267"/>
      <c r="H7" s="230"/>
      <c r="I7" s="230"/>
      <c r="J7" s="230"/>
      <c r="K7" s="230"/>
      <c r="L7" s="233"/>
      <c r="M7" s="233"/>
      <c r="N7" s="230"/>
      <c r="O7" s="230"/>
      <c r="P7" s="230"/>
      <c r="Q7" s="230"/>
      <c r="R7" s="230"/>
      <c r="S7" s="230"/>
      <c r="T7" s="230"/>
      <c r="U7" s="230"/>
      <c r="V7" s="230"/>
      <c r="W7" s="230"/>
      <c r="X7" s="230"/>
      <c r="Y7" s="230"/>
      <c r="Z7" s="230"/>
      <c r="AA7" s="230"/>
      <c r="AB7" s="230"/>
      <c r="AC7" s="230"/>
    </row>
    <row r="8" spans="1:29" ht="27.6" customHeight="1">
      <c r="A8" s="1267" t="s">
        <v>1385</v>
      </c>
      <c r="B8" s="1267"/>
      <c r="C8" s="1267"/>
      <c r="D8" s="1267"/>
      <c r="E8" s="1267"/>
      <c r="F8" s="1267"/>
      <c r="G8" s="1267"/>
      <c r="H8" s="230"/>
      <c r="I8" s="230"/>
      <c r="J8" s="230"/>
      <c r="K8" s="230"/>
      <c r="L8" s="233"/>
      <c r="M8" s="233"/>
      <c r="N8" s="230"/>
      <c r="O8" s="230"/>
      <c r="P8" s="230"/>
      <c r="Q8" s="230"/>
      <c r="R8" s="230"/>
      <c r="S8" s="230"/>
      <c r="T8" s="230"/>
      <c r="U8" s="230"/>
      <c r="V8" s="230"/>
      <c r="W8" s="230"/>
      <c r="X8" s="230"/>
      <c r="Y8" s="230"/>
      <c r="Z8" s="230"/>
      <c r="AA8" s="230"/>
      <c r="AB8" s="230"/>
      <c r="AC8" s="230"/>
    </row>
    <row r="9" spans="1:29">
      <c r="A9" s="283"/>
      <c r="B9" s="230"/>
      <c r="C9" s="230"/>
      <c r="D9" s="230"/>
      <c r="E9" s="230"/>
      <c r="F9" s="230"/>
      <c r="G9" s="230"/>
      <c r="H9" s="230"/>
      <c r="I9" s="230"/>
      <c r="J9" s="230"/>
      <c r="K9" s="230"/>
      <c r="L9" s="233"/>
      <c r="M9" s="233"/>
      <c r="N9" s="230"/>
      <c r="O9" s="230"/>
      <c r="P9" s="230"/>
      <c r="Q9" s="230"/>
      <c r="R9" s="230"/>
      <c r="S9" s="230"/>
      <c r="T9" s="230"/>
      <c r="U9" s="230"/>
      <c r="V9" s="230"/>
      <c r="W9" s="230"/>
      <c r="X9" s="230"/>
      <c r="Y9" s="230"/>
      <c r="Z9" s="230"/>
      <c r="AA9" s="230"/>
      <c r="AB9" s="230"/>
      <c r="AC9" s="230"/>
    </row>
    <row r="10" spans="1:29" ht="15" thickBot="1">
      <c r="A10" s="229" t="s">
        <v>471</v>
      </c>
      <c r="B10" s="230"/>
      <c r="C10" s="230"/>
      <c r="D10" s="230"/>
      <c r="E10" s="230"/>
      <c r="F10" s="230"/>
      <c r="G10" s="230"/>
      <c r="H10" s="230"/>
      <c r="I10" s="230"/>
      <c r="J10" s="230"/>
      <c r="K10" s="230"/>
      <c r="L10" s="233"/>
      <c r="M10" s="233"/>
      <c r="N10" s="230"/>
      <c r="O10" s="230"/>
      <c r="P10" s="230"/>
      <c r="Q10" s="230"/>
      <c r="R10" s="230"/>
      <c r="S10" s="230"/>
      <c r="T10" s="230"/>
      <c r="U10" s="230"/>
      <c r="V10" s="230"/>
      <c r="W10" s="230"/>
      <c r="X10" s="230"/>
      <c r="Y10" s="230"/>
      <c r="Z10" s="230"/>
      <c r="AA10" s="230"/>
      <c r="AB10" s="230"/>
      <c r="AC10" s="230"/>
    </row>
    <row r="11" spans="1:29" s="27" customFormat="1" ht="27.75" thickBot="1">
      <c r="A11" s="1042" t="s">
        <v>337</v>
      </c>
      <c r="B11" s="1043" t="s">
        <v>0</v>
      </c>
      <c r="C11" s="1043" t="s">
        <v>1210</v>
      </c>
      <c r="D11" s="976" t="s">
        <v>1211</v>
      </c>
      <c r="E11" s="976" t="s">
        <v>195</v>
      </c>
      <c r="F11" s="976" t="s">
        <v>32</v>
      </c>
      <c r="G11" s="976" t="s">
        <v>1213</v>
      </c>
      <c r="H11" s="473"/>
      <c r="I11" s="324"/>
      <c r="J11" s="324"/>
      <c r="K11" s="324"/>
      <c r="L11" s="477"/>
      <c r="M11" s="477"/>
      <c r="N11" s="324"/>
      <c r="O11" s="324"/>
      <c r="P11" s="324"/>
      <c r="Q11" s="324"/>
      <c r="R11" s="324"/>
      <c r="S11" s="324"/>
      <c r="T11" s="324"/>
      <c r="U11" s="324"/>
      <c r="V11" s="324"/>
      <c r="W11" s="324"/>
      <c r="X11" s="324"/>
      <c r="Y11" s="324"/>
      <c r="Z11" s="324"/>
      <c r="AA11" s="324"/>
      <c r="AB11" s="324"/>
      <c r="AC11" s="324"/>
    </row>
    <row r="12" spans="1:29" s="27" customFormat="1">
      <c r="A12" s="664" t="s">
        <v>19</v>
      </c>
      <c r="B12" s="665" t="s">
        <v>319</v>
      </c>
      <c r="C12" s="665" t="s">
        <v>1216</v>
      </c>
      <c r="D12" s="665" t="s">
        <v>1278</v>
      </c>
      <c r="E12" s="1109">
        <v>1000</v>
      </c>
      <c r="F12" s="665" t="s">
        <v>401</v>
      </c>
      <c r="G12" s="666">
        <f>IF($E12="","",E12*(VLOOKUP($F12,'Unit Conversions'!$A$12:$C$16,3,FALSE)*INDEX('Emission Factors'!$B$340:$H$400,MATCH(C12,'Emission Factors'!$B$340:$B$400,0),MATCH(D12,'Emission Factors'!$B$340:$H$340,0)))*1000)</f>
        <v>22040</v>
      </c>
      <c r="H12" s="481"/>
      <c r="I12" s="324"/>
      <c r="J12" s="324"/>
      <c r="K12" s="324"/>
      <c r="L12" s="477"/>
      <c r="M12" s="477"/>
      <c r="N12" s="324"/>
      <c r="O12" s="324"/>
      <c r="P12" s="324"/>
      <c r="Q12" s="324"/>
      <c r="R12" s="324"/>
      <c r="S12" s="324"/>
      <c r="T12" s="324"/>
      <c r="U12" s="324"/>
      <c r="V12" s="324"/>
      <c r="W12" s="324"/>
      <c r="X12" s="324"/>
      <c r="Y12" s="324"/>
      <c r="Z12" s="324"/>
      <c r="AA12" s="324"/>
      <c r="AB12" s="324"/>
      <c r="AC12" s="324"/>
    </row>
    <row r="13" spans="1:29" s="27" customFormat="1">
      <c r="A13" s="1116" t="s">
        <v>1396</v>
      </c>
      <c r="B13" s="1111" t="s">
        <v>1401</v>
      </c>
      <c r="C13" s="251" t="s">
        <v>1354</v>
      </c>
      <c r="D13" s="251" t="s">
        <v>1278</v>
      </c>
      <c r="E13" s="107">
        <v>8689</v>
      </c>
      <c r="F13" s="107" t="s">
        <v>399</v>
      </c>
      <c r="G13" s="666">
        <f>IF($E13="","",E13*(VLOOKUP($F13,'Unit Conversions'!$A$12:$C$16,3,FALSE)*INDEX('Emission Factors'!$B$340:$H$400,MATCH(C13,'Emission Factors'!$B$340:$B$400,0),MATCH(D13,'Emission Factors'!$B$340:$H$340,0)))*1000)</f>
        <v>2737.0350000000003</v>
      </c>
      <c r="H13" s="481"/>
      <c r="I13" s="324"/>
      <c r="J13" s="324"/>
      <c r="K13" s="324"/>
      <c r="L13" s="478"/>
      <c r="M13" s="479"/>
      <c r="N13" s="324"/>
      <c r="O13" s="324"/>
      <c r="P13" s="324"/>
      <c r="Q13" s="324"/>
      <c r="R13" s="324"/>
      <c r="S13" s="324"/>
      <c r="T13" s="324"/>
      <c r="U13" s="324"/>
      <c r="V13" s="324"/>
      <c r="W13" s="324"/>
      <c r="X13" s="324"/>
      <c r="Y13" s="324"/>
      <c r="Z13" s="324"/>
      <c r="AA13" s="324"/>
      <c r="AB13" s="324"/>
      <c r="AC13" s="324"/>
    </row>
    <row r="14" spans="1:29" s="27" customFormat="1">
      <c r="A14" s="1116" t="s">
        <v>1396</v>
      </c>
      <c r="B14" s="1106" t="s">
        <v>1402</v>
      </c>
      <c r="C14" s="251" t="s">
        <v>1252</v>
      </c>
      <c r="D14" s="251" t="s">
        <v>1277</v>
      </c>
      <c r="E14" s="1089">
        <v>240</v>
      </c>
      <c r="F14" s="107" t="s">
        <v>399</v>
      </c>
      <c r="G14" s="666">
        <f>IF($E14="","",E14*(VLOOKUP($F14,'Unit Conversions'!$A$12:$C$16,3,FALSE)*INDEX('Emission Factors'!$B$340:$H$400,MATCH(C14,'Emission Factors'!$B$340:$B$400,0),MATCH(D14,'Emission Factors'!$B$340:$H$340,0)))*1000)</f>
        <v>10.799999999999999</v>
      </c>
      <c r="H14" s="481"/>
      <c r="I14" s="324"/>
      <c r="J14" s="324"/>
      <c r="K14" s="324"/>
      <c r="L14" s="478"/>
      <c r="M14" s="479"/>
      <c r="N14" s="324"/>
      <c r="O14" s="324"/>
      <c r="P14" s="324"/>
      <c r="Q14" s="324"/>
      <c r="R14" s="324"/>
      <c r="S14" s="324"/>
      <c r="T14" s="324"/>
      <c r="U14" s="324"/>
      <c r="V14" s="324"/>
      <c r="W14" s="324"/>
      <c r="X14" s="324"/>
      <c r="Y14" s="324"/>
      <c r="Z14" s="324"/>
      <c r="AA14" s="324"/>
      <c r="AB14" s="324"/>
      <c r="AC14" s="324"/>
    </row>
    <row r="15" spans="1:29" s="27" customFormat="1">
      <c r="A15" s="1107" t="s">
        <v>1396</v>
      </c>
      <c r="B15" s="1106" t="s">
        <v>1403</v>
      </c>
      <c r="C15" s="251" t="s">
        <v>1218</v>
      </c>
      <c r="D15" s="251" t="s">
        <v>1277</v>
      </c>
      <c r="E15" s="107">
        <v>7130</v>
      </c>
      <c r="F15" s="107" t="s">
        <v>399</v>
      </c>
      <c r="G15" s="666">
        <f>IF($E15="","",E15*(VLOOKUP($F15,'Unit Conversions'!$A$12:$C$16,3,FALSE)*INDEX('Emission Factors'!$B$340:$H$400,MATCH(C15,'Emission Factors'!$B$340:$B$400,0),MATCH(D15,'Emission Factors'!$B$340:$H$340,0)))*1000)</f>
        <v>178.25000000000003</v>
      </c>
      <c r="H15" s="324"/>
      <c r="I15" s="324"/>
      <c r="J15" s="324"/>
      <c r="K15" s="324"/>
      <c r="L15" s="478"/>
      <c r="M15" s="479"/>
      <c r="N15" s="324"/>
      <c r="O15" s="324"/>
      <c r="P15" s="324"/>
      <c r="Q15" s="324"/>
      <c r="R15" s="324"/>
      <c r="S15" s="324"/>
      <c r="T15" s="324"/>
      <c r="U15" s="324"/>
      <c r="V15" s="324"/>
      <c r="W15" s="324"/>
      <c r="X15" s="324"/>
      <c r="Y15" s="324"/>
      <c r="Z15" s="324"/>
      <c r="AA15" s="324"/>
      <c r="AB15" s="324"/>
      <c r="AC15" s="324"/>
    </row>
    <row r="16" spans="1:29" s="27" customFormat="1">
      <c r="A16" s="98"/>
      <c r="B16" s="38"/>
      <c r="C16" s="251"/>
      <c r="D16" s="251"/>
      <c r="E16" s="107"/>
      <c r="F16" s="107"/>
      <c r="G16" s="666" t="str">
        <f>IF($E16="","",E16*(VLOOKUP($F16,'Unit Conversions'!$A$12:$C$16,3,FALSE)*INDEX('Emission Factors'!$B$340:$H$400,MATCH(C16,'Emission Factors'!$B$340:$B$400,0),MATCH(D16,'Emission Factors'!$B$340:$H$340,0)))*1000)</f>
        <v/>
      </c>
      <c r="H16" s="324"/>
      <c r="I16" s="324"/>
      <c r="J16" s="324"/>
      <c r="K16" s="324"/>
      <c r="L16" s="478"/>
      <c r="M16" s="479"/>
      <c r="N16" s="324"/>
      <c r="O16" s="324"/>
      <c r="P16" s="324"/>
      <c r="Q16" s="324"/>
      <c r="R16" s="324"/>
      <c r="S16" s="324"/>
      <c r="T16" s="324"/>
      <c r="U16" s="324"/>
      <c r="V16" s="324"/>
      <c r="W16" s="324"/>
      <c r="X16" s="324"/>
      <c r="Y16" s="324"/>
      <c r="Z16" s="324"/>
      <c r="AA16" s="324"/>
      <c r="AB16" s="324"/>
      <c r="AC16" s="324"/>
    </row>
    <row r="17" spans="1:29" s="27" customFormat="1">
      <c r="A17" s="1107"/>
      <c r="B17" s="38"/>
      <c r="C17" s="1111"/>
      <c r="D17" s="251"/>
      <c r="E17" s="107"/>
      <c r="F17" s="107"/>
      <c r="G17" s="666" t="str">
        <f>IF($E17="","",E17*(VLOOKUP($F17,'Unit Conversions'!$A$12:$C$16,3,FALSE)*INDEX('Emission Factors'!$B$340:$H$400,MATCH(C17,'Emission Factors'!$B$340:$B$400,0),MATCH(D17,'Emission Factors'!$B$340:$H$340,0)))*1000)</f>
        <v/>
      </c>
      <c r="H17" s="324"/>
      <c r="I17" s="324"/>
      <c r="J17" s="324"/>
      <c r="K17" s="324"/>
      <c r="L17" s="478"/>
      <c r="M17" s="479"/>
      <c r="N17" s="324"/>
      <c r="O17" s="324"/>
      <c r="P17" s="324"/>
      <c r="Q17" s="324"/>
      <c r="R17" s="324"/>
      <c r="S17" s="324"/>
      <c r="T17" s="324"/>
      <c r="U17" s="324"/>
      <c r="V17" s="324"/>
      <c r="W17" s="324"/>
      <c r="X17" s="324"/>
      <c r="Y17" s="324"/>
      <c r="Z17" s="324"/>
      <c r="AA17" s="324"/>
      <c r="AB17" s="324"/>
      <c r="AC17" s="324"/>
    </row>
    <row r="18" spans="1:29" s="27" customFormat="1">
      <c r="A18" s="98"/>
      <c r="B18" s="1106"/>
      <c r="C18" s="251"/>
      <c r="D18" s="251"/>
      <c r="E18" s="107"/>
      <c r="F18" s="107"/>
      <c r="G18" s="666" t="str">
        <f>IF($E18="","",E18*(VLOOKUP($F18,'Unit Conversions'!$A$12:$C$16,3,FALSE)*INDEX('Emission Factors'!$B$340:$H$400,MATCH(C18,'Emission Factors'!$B$340:$B$400,0),MATCH(D18,'Emission Factors'!$B$340:$H$340,0)))*1000)</f>
        <v/>
      </c>
      <c r="H18" s="324"/>
      <c r="I18" s="324"/>
      <c r="J18" s="324"/>
      <c r="K18" s="324"/>
      <c r="L18" s="479"/>
      <c r="M18" s="479"/>
      <c r="N18" s="324"/>
      <c r="O18" s="324"/>
      <c r="P18" s="324"/>
      <c r="Q18" s="324"/>
      <c r="R18" s="324"/>
      <c r="S18" s="324"/>
      <c r="T18" s="324"/>
      <c r="U18" s="324"/>
      <c r="V18" s="324"/>
      <c r="W18" s="324"/>
      <c r="X18" s="324"/>
      <c r="Y18" s="324"/>
      <c r="Z18" s="324"/>
      <c r="AA18" s="324"/>
      <c r="AB18" s="324"/>
      <c r="AC18" s="324"/>
    </row>
    <row r="19" spans="1:29" s="27" customFormat="1">
      <c r="A19" s="98"/>
      <c r="B19" s="38"/>
      <c r="C19" s="251"/>
      <c r="D19" s="251"/>
      <c r="E19" s="107"/>
      <c r="F19" s="107"/>
      <c r="G19" s="666" t="str">
        <f>IF($E19="","",E19*(VLOOKUP($F19,'Unit Conversions'!$A$12:$C$16,3,FALSE)*INDEX('Emission Factors'!$B$340:$H$400,MATCH(C19,'Emission Factors'!$B$340:$B$400,0),MATCH(D19,'Emission Factors'!$B$340:$H$340,0)))*1000)</f>
        <v/>
      </c>
      <c r="H19" s="324"/>
      <c r="I19" s="324"/>
      <c r="J19" s="324"/>
      <c r="K19" s="324"/>
      <c r="L19" s="479"/>
      <c r="M19" s="479"/>
      <c r="N19" s="324"/>
      <c r="O19" s="324"/>
      <c r="P19" s="324"/>
      <c r="Q19" s="324"/>
      <c r="R19" s="324"/>
      <c r="S19" s="324"/>
      <c r="T19" s="324"/>
      <c r="U19" s="324"/>
      <c r="V19" s="324"/>
      <c r="W19" s="324"/>
      <c r="X19" s="324"/>
      <c r="Y19" s="324"/>
      <c r="Z19" s="324"/>
      <c r="AA19" s="324"/>
      <c r="AB19" s="324"/>
      <c r="AC19" s="324"/>
    </row>
    <row r="20" spans="1:29" s="27" customFormat="1">
      <c r="A20" s="98"/>
      <c r="B20" s="38"/>
      <c r="C20" s="251"/>
      <c r="D20" s="251"/>
      <c r="E20" s="107"/>
      <c r="F20" s="107"/>
      <c r="G20" s="666" t="str">
        <f>IF($E20="","",E20*(VLOOKUP($F20,'Unit Conversions'!$A$12:$C$16,3,FALSE)*INDEX('Emission Factors'!$B$340:$H$400,MATCH(C20,'Emission Factors'!$B$340:$B$400,0),MATCH(D20,'Emission Factors'!$B$340:$H$340,0)))*1000)</f>
        <v/>
      </c>
      <c r="H20" s="324"/>
      <c r="I20" s="324"/>
      <c r="J20" s="324"/>
      <c r="K20" s="324"/>
      <c r="L20" s="479"/>
      <c r="M20" s="479"/>
      <c r="N20" s="324"/>
      <c r="O20" s="324"/>
      <c r="P20" s="324"/>
      <c r="Q20" s="324"/>
      <c r="R20" s="324"/>
      <c r="S20" s="324"/>
      <c r="T20" s="324"/>
      <c r="U20" s="324"/>
      <c r="V20" s="324"/>
      <c r="W20" s="324"/>
      <c r="X20" s="324"/>
      <c r="Y20" s="324"/>
      <c r="Z20" s="324"/>
      <c r="AA20" s="324"/>
      <c r="AB20" s="324"/>
      <c r="AC20" s="324"/>
    </row>
    <row r="21" spans="1:29" s="27" customFormat="1">
      <c r="A21" s="98"/>
      <c r="B21" s="38"/>
      <c r="C21" s="251"/>
      <c r="D21" s="251"/>
      <c r="E21" s="107"/>
      <c r="F21" s="107"/>
      <c r="G21" s="666" t="str">
        <f>IF($E21="","",E21*(VLOOKUP($F21,'Unit Conversions'!$A$12:$C$16,3,FALSE)*INDEX('Emission Factors'!$B$340:$H$400,MATCH(C21,'Emission Factors'!$B$340:$B$400,0),MATCH(D21,'Emission Factors'!$B$340:$H$340,0)))*1000)</f>
        <v/>
      </c>
      <c r="H21" s="324"/>
      <c r="I21" s="324"/>
      <c r="J21" s="324"/>
      <c r="K21" s="324"/>
      <c r="L21" s="479"/>
      <c r="M21" s="479"/>
      <c r="N21" s="324"/>
      <c r="O21" s="324"/>
      <c r="P21" s="324"/>
      <c r="Q21" s="324"/>
      <c r="R21" s="324"/>
      <c r="S21" s="324"/>
      <c r="T21" s="324"/>
      <c r="U21" s="324"/>
      <c r="V21" s="324"/>
      <c r="W21" s="324"/>
      <c r="X21" s="324"/>
      <c r="Y21" s="324"/>
      <c r="Z21" s="324"/>
      <c r="AA21" s="324"/>
      <c r="AB21" s="324"/>
      <c r="AC21" s="324"/>
    </row>
    <row r="22" spans="1:29" s="27" customFormat="1">
      <c r="A22" s="98"/>
      <c r="B22" s="38"/>
      <c r="C22" s="251"/>
      <c r="D22" s="251"/>
      <c r="E22" s="107"/>
      <c r="F22" s="107"/>
      <c r="G22" s="666" t="str">
        <f>IF($E22="","",E22*(VLOOKUP($F22,'Unit Conversions'!$A$12:$C$16,3,FALSE)*INDEX('Emission Factors'!$B$340:$H$400,MATCH(C22,'Emission Factors'!$B$340:$B$400,0),MATCH(D22,'Emission Factors'!$B$340:$H$340,0)))*1000)</f>
        <v/>
      </c>
      <c r="H22" s="324"/>
      <c r="I22" s="324"/>
      <c r="J22" s="324"/>
      <c r="K22" s="324"/>
      <c r="L22" s="479"/>
      <c r="M22" s="479"/>
      <c r="N22" s="324"/>
      <c r="O22" s="324"/>
      <c r="P22" s="324"/>
      <c r="Q22" s="324"/>
      <c r="R22" s="324"/>
      <c r="S22" s="324"/>
      <c r="T22" s="324"/>
      <c r="U22" s="324"/>
      <c r="V22" s="324"/>
      <c r="W22" s="324"/>
      <c r="X22" s="324"/>
      <c r="Y22" s="324"/>
      <c r="Z22" s="324"/>
      <c r="AA22" s="324"/>
      <c r="AB22" s="324"/>
      <c r="AC22" s="324"/>
    </row>
    <row r="23" spans="1:29" s="27" customFormat="1">
      <c r="A23" s="98"/>
      <c r="B23" s="38"/>
      <c r="C23" s="251"/>
      <c r="D23" s="251"/>
      <c r="E23" s="107"/>
      <c r="F23" s="107"/>
      <c r="G23" s="666" t="str">
        <f>IF($E23="","",E23*(VLOOKUP($F23,'Unit Conversions'!$A$12:$C$16,3,FALSE)*INDEX('Emission Factors'!$B$340:$H$400,MATCH(C23,'Emission Factors'!$B$340:$B$400,0),MATCH(D23,'Emission Factors'!$B$340:$H$340,0)))*1000)</f>
        <v/>
      </c>
      <c r="H23" s="324"/>
      <c r="I23" s="324"/>
      <c r="J23" s="324"/>
      <c r="K23" s="324"/>
      <c r="L23" s="479"/>
      <c r="M23" s="479"/>
      <c r="N23" s="324"/>
      <c r="O23" s="324"/>
      <c r="P23" s="324"/>
      <c r="Q23" s="324"/>
      <c r="R23" s="324"/>
      <c r="S23" s="324"/>
      <c r="T23" s="324"/>
      <c r="U23" s="324"/>
      <c r="V23" s="324"/>
      <c r="W23" s="324"/>
      <c r="X23" s="324"/>
      <c r="Y23" s="324"/>
      <c r="Z23" s="324"/>
      <c r="AA23" s="324"/>
      <c r="AB23" s="324"/>
      <c r="AC23" s="324"/>
    </row>
    <row r="24" spans="1:29" s="27" customFormat="1">
      <c r="A24" s="98"/>
      <c r="B24" s="38"/>
      <c r="C24" s="251"/>
      <c r="D24" s="251"/>
      <c r="E24" s="107"/>
      <c r="F24" s="107"/>
      <c r="G24" s="666" t="str">
        <f>IF($E24="","",E24*(VLOOKUP($F24,'Unit Conversions'!$A$12:$C$16,3,FALSE)*INDEX('Emission Factors'!$B$340:$H$400,MATCH(C24,'Emission Factors'!$B$340:$B$400,0),MATCH(D24,'Emission Factors'!$B$340:$H$340,0)))*1000)</f>
        <v/>
      </c>
      <c r="H24" s="324"/>
      <c r="I24" s="324"/>
      <c r="J24" s="324"/>
      <c r="K24" s="324"/>
      <c r="L24" s="479"/>
      <c r="M24" s="479"/>
      <c r="N24" s="324"/>
      <c r="O24" s="324"/>
      <c r="P24" s="324"/>
      <c r="Q24" s="324"/>
      <c r="R24" s="324"/>
      <c r="S24" s="324"/>
      <c r="T24" s="324"/>
      <c r="U24" s="324"/>
      <c r="V24" s="324"/>
      <c r="W24" s="324"/>
      <c r="X24" s="324"/>
      <c r="Y24" s="324"/>
      <c r="Z24" s="324"/>
      <c r="AA24" s="324"/>
      <c r="AB24" s="324"/>
      <c r="AC24" s="324"/>
    </row>
    <row r="25" spans="1:29" s="27" customFormat="1">
      <c r="A25" s="98"/>
      <c r="B25" s="38"/>
      <c r="C25" s="251"/>
      <c r="D25" s="251"/>
      <c r="E25" s="107"/>
      <c r="F25" s="107"/>
      <c r="G25" s="666" t="str">
        <f>IF($E25="","",E25*(VLOOKUP($F25,'Unit Conversions'!$A$12:$C$16,3,FALSE)*INDEX('Emission Factors'!$B$340:$H$400,MATCH(C25,'Emission Factors'!$B$340:$B$400,0),MATCH(D25,'Emission Factors'!$B$340:$H$340,0)))*1000)</f>
        <v/>
      </c>
      <c r="H25" s="324"/>
      <c r="I25" s="324"/>
      <c r="J25" s="324"/>
      <c r="K25" s="324"/>
      <c r="L25" s="479"/>
      <c r="M25" s="479"/>
      <c r="N25" s="324"/>
      <c r="O25" s="324"/>
      <c r="P25" s="324"/>
      <c r="Q25" s="324"/>
      <c r="R25" s="324"/>
      <c r="S25" s="324"/>
      <c r="T25" s="324"/>
      <c r="U25" s="324"/>
      <c r="V25" s="324"/>
      <c r="W25" s="324"/>
      <c r="X25" s="324"/>
      <c r="Y25" s="324"/>
      <c r="Z25" s="324"/>
      <c r="AA25" s="324"/>
      <c r="AB25" s="324"/>
      <c r="AC25" s="324"/>
    </row>
    <row r="26" spans="1:29" s="27" customFormat="1">
      <c r="A26" s="98"/>
      <c r="B26" s="38"/>
      <c r="C26" s="251"/>
      <c r="D26" s="251"/>
      <c r="E26" s="107"/>
      <c r="F26" s="107"/>
      <c r="G26" s="666" t="str">
        <f>IF($E26="","",E26*(VLOOKUP($F26,'Unit Conversions'!$A$12:$C$16,3,FALSE)*INDEX('Emission Factors'!$B$340:$H$400,MATCH(C26,'Emission Factors'!$B$340:$B$400,0),MATCH(D26,'Emission Factors'!$B$340:$H$340,0)))*1000)</f>
        <v/>
      </c>
      <c r="H26" s="324"/>
      <c r="I26" s="324"/>
      <c r="J26" s="324"/>
      <c r="K26" s="324"/>
      <c r="L26" s="479"/>
      <c r="M26" s="479"/>
      <c r="N26" s="324"/>
      <c r="O26" s="324"/>
      <c r="P26" s="324"/>
      <c r="Q26" s="324"/>
      <c r="R26" s="324"/>
      <c r="S26" s="324"/>
      <c r="T26" s="324"/>
      <c r="U26" s="324"/>
      <c r="V26" s="324"/>
      <c r="W26" s="324"/>
      <c r="X26" s="324"/>
      <c r="Y26" s="324"/>
      <c r="Z26" s="324"/>
      <c r="AA26" s="324"/>
      <c r="AB26" s="324"/>
      <c r="AC26" s="324"/>
    </row>
    <row r="27" spans="1:29" s="27" customFormat="1">
      <c r="A27" s="98"/>
      <c r="B27" s="38"/>
      <c r="C27" s="251"/>
      <c r="D27" s="251"/>
      <c r="E27" s="107"/>
      <c r="F27" s="107"/>
      <c r="G27" s="666" t="str">
        <f>IF($E27="","",E27*(VLOOKUP($F27,'Unit Conversions'!$A$12:$C$16,3,FALSE)*INDEX('Emission Factors'!$B$340:$H$400,MATCH(C27,'Emission Factors'!$B$340:$B$400,0),MATCH(D27,'Emission Factors'!$B$340:$H$340,0)))*1000)</f>
        <v/>
      </c>
      <c r="H27" s="324"/>
      <c r="I27" s="324"/>
      <c r="J27" s="324"/>
      <c r="K27" s="324"/>
      <c r="L27" s="479"/>
      <c r="M27" s="479"/>
      <c r="N27" s="324"/>
      <c r="O27" s="324"/>
      <c r="P27" s="324"/>
      <c r="Q27" s="324"/>
      <c r="R27" s="324"/>
      <c r="S27" s="324"/>
      <c r="T27" s="324"/>
      <c r="U27" s="324"/>
      <c r="V27" s="324"/>
      <c r="W27" s="324"/>
      <c r="X27" s="324"/>
      <c r="Y27" s="324"/>
      <c r="Z27" s="324"/>
      <c r="AA27" s="324"/>
      <c r="AB27" s="324"/>
      <c r="AC27" s="324"/>
    </row>
    <row r="28" spans="1:29" s="27" customFormat="1">
      <c r="A28" s="98"/>
      <c r="B28" s="38"/>
      <c r="C28" s="251"/>
      <c r="D28" s="251"/>
      <c r="E28" s="107"/>
      <c r="F28" s="107"/>
      <c r="G28" s="666" t="str">
        <f>IF($E28="","",E28*(VLOOKUP($F28,'Unit Conversions'!$A$12:$C$16,3,FALSE)*INDEX('Emission Factors'!$B$340:$H$400,MATCH(C28,'Emission Factors'!$B$340:$B$400,0),MATCH(D28,'Emission Factors'!$B$340:$H$340,0)))*1000)</f>
        <v/>
      </c>
      <c r="H28" s="324"/>
      <c r="I28" s="324"/>
      <c r="J28" s="324"/>
      <c r="K28" s="324"/>
      <c r="L28" s="479"/>
      <c r="M28" s="479"/>
      <c r="N28" s="324"/>
      <c r="O28" s="324"/>
      <c r="P28" s="324"/>
      <c r="Q28" s="324"/>
      <c r="R28" s="324"/>
      <c r="S28" s="324"/>
      <c r="T28" s="324"/>
      <c r="U28" s="324"/>
      <c r="V28" s="324"/>
      <c r="W28" s="324"/>
      <c r="X28" s="324"/>
      <c r="Y28" s="324"/>
      <c r="Z28" s="324"/>
      <c r="AA28" s="324"/>
      <c r="AB28" s="324"/>
      <c r="AC28" s="324"/>
    </row>
    <row r="29" spans="1:29" s="27" customFormat="1">
      <c r="A29" s="98"/>
      <c r="B29" s="38"/>
      <c r="C29" s="251"/>
      <c r="D29" s="251"/>
      <c r="E29" s="107"/>
      <c r="F29" s="107"/>
      <c r="G29" s="666" t="str">
        <f>IF($E29="","",E29*(VLOOKUP($F29,'Unit Conversions'!$A$12:$C$16,3,FALSE)*INDEX('Emission Factors'!$B$340:$H$400,MATCH(C29,'Emission Factors'!$B$340:$B$400,0),MATCH(D29,'Emission Factors'!$B$340:$H$340,0)))*1000)</f>
        <v/>
      </c>
      <c r="H29" s="324"/>
      <c r="I29" s="324"/>
      <c r="J29" s="324"/>
      <c r="K29" s="324"/>
      <c r="L29" s="479"/>
      <c r="M29" s="479"/>
      <c r="N29" s="324"/>
      <c r="O29" s="324"/>
      <c r="P29" s="324"/>
      <c r="Q29" s="324"/>
      <c r="R29" s="324"/>
      <c r="S29" s="324"/>
      <c r="T29" s="324"/>
      <c r="U29" s="324"/>
      <c r="V29" s="324"/>
      <c r="W29" s="324"/>
      <c r="X29" s="324"/>
      <c r="Y29" s="324"/>
      <c r="Z29" s="324"/>
      <c r="AA29" s="324"/>
      <c r="AB29" s="324"/>
      <c r="AC29" s="324"/>
    </row>
    <row r="30" spans="1:29" s="27" customFormat="1">
      <c r="A30" s="98"/>
      <c r="B30" s="38"/>
      <c r="C30" s="251"/>
      <c r="D30" s="251"/>
      <c r="E30" s="107"/>
      <c r="F30" s="107"/>
      <c r="G30" s="666" t="str">
        <f>IF($E30="","",E30*(VLOOKUP($F30,'Unit Conversions'!$A$12:$C$16,3,FALSE)*INDEX('Emission Factors'!$B$340:$H$400,MATCH(C30,'Emission Factors'!$B$340:$B$400,0),MATCH(D30,'Emission Factors'!$B$340:$H$340,0)))*1000)</f>
        <v/>
      </c>
      <c r="H30" s="324"/>
      <c r="I30" s="324"/>
      <c r="J30" s="324"/>
      <c r="K30" s="324"/>
      <c r="L30" s="479"/>
      <c r="M30" s="479"/>
      <c r="N30" s="324"/>
      <c r="O30" s="324"/>
      <c r="P30" s="324"/>
      <c r="Q30" s="324"/>
      <c r="R30" s="324"/>
      <c r="S30" s="324"/>
      <c r="T30" s="324"/>
      <c r="U30" s="324"/>
      <c r="V30" s="324"/>
      <c r="W30" s="324"/>
      <c r="X30" s="324"/>
      <c r="Y30" s="324"/>
      <c r="Z30" s="324"/>
      <c r="AA30" s="324"/>
      <c r="AB30" s="324"/>
      <c r="AC30" s="324"/>
    </row>
    <row r="31" spans="1:29" s="27" customFormat="1">
      <c r="A31" s="98"/>
      <c r="B31" s="38"/>
      <c r="C31" s="251"/>
      <c r="D31" s="251"/>
      <c r="E31" s="107"/>
      <c r="F31" s="107"/>
      <c r="G31" s="666" t="str">
        <f>IF($E31="","",E31*(VLOOKUP($F31,'Unit Conversions'!$A$12:$C$16,3,FALSE)*INDEX('Emission Factors'!$B$340:$H$400,MATCH(C31,'Emission Factors'!$B$340:$B$400,0),MATCH(D31,'Emission Factors'!$B$340:$H$340,0)))*1000)</f>
        <v/>
      </c>
      <c r="H31" s="324"/>
      <c r="I31" s="324"/>
      <c r="J31" s="324"/>
      <c r="K31" s="324"/>
      <c r="L31" s="479"/>
      <c r="M31" s="479"/>
      <c r="N31" s="324"/>
      <c r="O31" s="324"/>
      <c r="P31" s="324"/>
      <c r="Q31" s="324"/>
      <c r="R31" s="324"/>
      <c r="S31" s="324"/>
      <c r="T31" s="324"/>
      <c r="U31" s="324"/>
      <c r="V31" s="324"/>
      <c r="W31" s="324"/>
      <c r="X31" s="324"/>
      <c r="Y31" s="324"/>
      <c r="Z31" s="324"/>
      <c r="AA31" s="324"/>
      <c r="AB31" s="324"/>
      <c r="AC31" s="324"/>
    </row>
    <row r="32" spans="1:29" s="27" customFormat="1">
      <c r="A32" s="98"/>
      <c r="B32" s="38"/>
      <c r="C32" s="251"/>
      <c r="D32" s="251"/>
      <c r="E32" s="107"/>
      <c r="F32" s="107"/>
      <c r="G32" s="666" t="str">
        <f>IF($E32="","",E32*(VLOOKUP($F32,'Unit Conversions'!$A$12:$C$16,3,FALSE)*INDEX('Emission Factors'!$B$340:$H$400,MATCH(C32,'Emission Factors'!$B$340:$B$400,0),MATCH(D32,'Emission Factors'!$B$340:$H$340,0)))*1000)</f>
        <v/>
      </c>
      <c r="H32" s="324"/>
      <c r="I32" s="324"/>
      <c r="J32" s="324"/>
      <c r="K32" s="324"/>
      <c r="L32" s="479"/>
      <c r="M32" s="479"/>
      <c r="N32" s="324"/>
      <c r="O32" s="324"/>
      <c r="P32" s="324"/>
      <c r="Q32" s="324"/>
      <c r="R32" s="324"/>
      <c r="S32" s="324"/>
      <c r="T32" s="324"/>
      <c r="U32" s="324"/>
      <c r="V32" s="324"/>
      <c r="W32" s="324"/>
      <c r="X32" s="324"/>
      <c r="Y32" s="324"/>
      <c r="Z32" s="324"/>
      <c r="AA32" s="324"/>
      <c r="AB32" s="324"/>
      <c r="AC32" s="324"/>
    </row>
    <row r="33" spans="1:29" s="27" customFormat="1">
      <c r="A33" s="98"/>
      <c r="B33" s="38"/>
      <c r="C33" s="251"/>
      <c r="D33" s="251"/>
      <c r="E33" s="107"/>
      <c r="F33" s="107"/>
      <c r="G33" s="666" t="str">
        <f>IF($E33="","",E33*(VLOOKUP($F33,'Unit Conversions'!$A$12:$C$16,3,FALSE)*INDEX('Emission Factors'!$B$340:$H$400,MATCH(C33,'Emission Factors'!$B$340:$B$400,0),MATCH(D33,'Emission Factors'!$B$340:$H$340,0)))*1000)</f>
        <v/>
      </c>
      <c r="H33" s="324"/>
      <c r="I33" s="324"/>
      <c r="J33" s="324"/>
      <c r="K33" s="324"/>
      <c r="L33" s="479"/>
      <c r="M33" s="479"/>
      <c r="N33" s="324"/>
      <c r="O33" s="324"/>
      <c r="P33" s="324"/>
      <c r="Q33" s="324"/>
      <c r="R33" s="324"/>
      <c r="S33" s="324"/>
      <c r="T33" s="324"/>
      <c r="U33" s="324"/>
      <c r="V33" s="324"/>
      <c r="W33" s="324"/>
      <c r="X33" s="324"/>
      <c r="Y33" s="324"/>
      <c r="Z33" s="324"/>
      <c r="AA33" s="324"/>
      <c r="AB33" s="324"/>
      <c r="AC33" s="324"/>
    </row>
    <row r="34" spans="1:29" s="27" customFormat="1">
      <c r="A34" s="98"/>
      <c r="B34" s="38"/>
      <c r="C34" s="251"/>
      <c r="D34" s="251"/>
      <c r="E34" s="107"/>
      <c r="F34" s="107"/>
      <c r="G34" s="666" t="str">
        <f>IF($E34="","",E34*(VLOOKUP($F34,'Unit Conversions'!$A$12:$C$16,3,FALSE)*INDEX('Emission Factors'!$B$340:$H$400,MATCH(C34,'Emission Factors'!$B$340:$B$400,0),MATCH(D34,'Emission Factors'!$B$340:$H$340,0)))*1000)</f>
        <v/>
      </c>
      <c r="H34" s="324"/>
      <c r="I34" s="324"/>
      <c r="J34" s="324"/>
      <c r="K34" s="324"/>
      <c r="L34" s="479"/>
      <c r="M34" s="479"/>
      <c r="N34" s="324"/>
      <c r="O34" s="324"/>
      <c r="P34" s="324"/>
      <c r="Q34" s="324"/>
      <c r="R34" s="324"/>
      <c r="S34" s="324"/>
      <c r="T34" s="324"/>
      <c r="U34" s="324"/>
      <c r="V34" s="324"/>
      <c r="W34" s="324"/>
      <c r="X34" s="324"/>
      <c r="Y34" s="324"/>
      <c r="Z34" s="324"/>
      <c r="AA34" s="324"/>
      <c r="AB34" s="324"/>
      <c r="AC34" s="324"/>
    </row>
    <row r="35" spans="1:29" s="27" customFormat="1">
      <c r="A35" s="98"/>
      <c r="B35" s="38"/>
      <c r="C35" s="251"/>
      <c r="D35" s="251"/>
      <c r="E35" s="107"/>
      <c r="F35" s="107"/>
      <c r="G35" s="666" t="str">
        <f>IF($E35="","",E35*(VLOOKUP($F35,'Unit Conversions'!$A$12:$C$16,3,FALSE)*INDEX('Emission Factors'!$B$340:$H$400,MATCH(C35,'Emission Factors'!$B$340:$B$400,0),MATCH(D35,'Emission Factors'!$B$340:$H$340,0)))*1000)</f>
        <v/>
      </c>
      <c r="H35" s="324"/>
      <c r="I35" s="324"/>
      <c r="J35" s="324"/>
      <c r="K35" s="324"/>
      <c r="L35" s="479"/>
      <c r="M35" s="479"/>
      <c r="N35" s="324"/>
      <c r="O35" s="324"/>
      <c r="P35" s="324"/>
      <c r="Q35" s="324"/>
      <c r="R35" s="324"/>
      <c r="S35" s="324"/>
      <c r="T35" s="324"/>
      <c r="U35" s="324"/>
      <c r="V35" s="324"/>
      <c r="W35" s="324"/>
      <c r="X35" s="324"/>
      <c r="Y35" s="324"/>
      <c r="Z35" s="324"/>
      <c r="AA35" s="324"/>
      <c r="AB35" s="324"/>
      <c r="AC35" s="324"/>
    </row>
    <row r="36" spans="1:29" s="27" customFormat="1">
      <c r="A36" s="98"/>
      <c r="B36" s="38"/>
      <c r="C36" s="251"/>
      <c r="D36" s="251"/>
      <c r="E36" s="107"/>
      <c r="F36" s="107"/>
      <c r="G36" s="666" t="str">
        <f>IF($E36="","",E36*(VLOOKUP($F36,'Unit Conversions'!$A$12:$C$16,3,FALSE)*INDEX('Emission Factors'!$B$340:$H$400,MATCH(C36,'Emission Factors'!$B$340:$B$400,0),MATCH(D36,'Emission Factors'!$B$340:$H$340,0)))*1000)</f>
        <v/>
      </c>
      <c r="H36" s="324"/>
      <c r="I36" s="324"/>
      <c r="J36" s="324"/>
      <c r="K36" s="324"/>
      <c r="L36" s="479"/>
      <c r="M36" s="479"/>
      <c r="N36" s="324"/>
      <c r="O36" s="324"/>
      <c r="P36" s="324"/>
      <c r="Q36" s="324"/>
      <c r="R36" s="324"/>
      <c r="S36" s="324"/>
      <c r="T36" s="324"/>
      <c r="U36" s="324"/>
      <c r="V36" s="324"/>
      <c r="W36" s="324"/>
      <c r="X36" s="324"/>
      <c r="Y36" s="324"/>
      <c r="Z36" s="324"/>
      <c r="AA36" s="324"/>
      <c r="AB36" s="324"/>
      <c r="AC36" s="324"/>
    </row>
    <row r="37" spans="1:29" s="27" customFormat="1">
      <c r="A37" s="98"/>
      <c r="B37" s="38"/>
      <c r="C37" s="251"/>
      <c r="D37" s="251"/>
      <c r="E37" s="107"/>
      <c r="F37" s="107"/>
      <c r="G37" s="666" t="str">
        <f>IF($E37="","",E37*(VLOOKUP($F37,'Unit Conversions'!$A$12:$C$16,3,FALSE)*INDEX('Emission Factors'!$B$340:$H$400,MATCH(C37,'Emission Factors'!$B$340:$B$400,0),MATCH(D37,'Emission Factors'!$B$340:$H$340,0)))*1000)</f>
        <v/>
      </c>
      <c r="H37" s="324"/>
      <c r="I37" s="324"/>
      <c r="J37" s="324"/>
      <c r="K37" s="324"/>
      <c r="L37" s="479"/>
      <c r="M37" s="479"/>
      <c r="N37" s="324"/>
      <c r="O37" s="324"/>
      <c r="P37" s="324"/>
      <c r="Q37" s="324"/>
      <c r="R37" s="324"/>
      <c r="S37" s="324"/>
      <c r="T37" s="324"/>
      <c r="U37" s="324"/>
      <c r="V37" s="324"/>
      <c r="W37" s="324"/>
      <c r="X37" s="324"/>
      <c r="Y37" s="324"/>
      <c r="Z37" s="324"/>
      <c r="AA37" s="324"/>
      <c r="AB37" s="324"/>
      <c r="AC37" s="324"/>
    </row>
    <row r="38" spans="1:29" s="27" customFormat="1">
      <c r="A38" s="98"/>
      <c r="B38" s="38"/>
      <c r="C38" s="251"/>
      <c r="D38" s="251"/>
      <c r="E38" s="107"/>
      <c r="F38" s="107"/>
      <c r="G38" s="666" t="str">
        <f>IF($E38="","",E38*(VLOOKUP($F38,'Unit Conversions'!$A$12:$C$16,3,FALSE)*INDEX('Emission Factors'!$B$340:$H$400,MATCH(C38,'Emission Factors'!$B$340:$B$400,0),MATCH(D38,'Emission Factors'!$B$340:$H$340,0)))*1000)</f>
        <v/>
      </c>
      <c r="H38" s="324"/>
      <c r="I38" s="324"/>
      <c r="J38" s="324"/>
      <c r="K38" s="324"/>
      <c r="L38" s="479"/>
      <c r="M38" s="479"/>
      <c r="N38" s="324"/>
      <c r="O38" s="324"/>
      <c r="P38" s="324"/>
      <c r="Q38" s="324"/>
      <c r="R38" s="324"/>
      <c r="S38" s="324"/>
      <c r="T38" s="324"/>
      <c r="U38" s="324"/>
      <c r="V38" s="324"/>
      <c r="W38" s="324"/>
      <c r="X38" s="324"/>
      <c r="Y38" s="324"/>
      <c r="Z38" s="324"/>
      <c r="AA38" s="324"/>
      <c r="AB38" s="324"/>
      <c r="AC38" s="324"/>
    </row>
    <row r="39" spans="1:29" s="27" customFormat="1">
      <c r="A39" s="98"/>
      <c r="B39" s="38"/>
      <c r="C39" s="251"/>
      <c r="D39" s="251"/>
      <c r="E39" s="107"/>
      <c r="F39" s="107"/>
      <c r="G39" s="666" t="str">
        <f>IF($E39="","",E39*(VLOOKUP($F39,'Unit Conversions'!$A$12:$C$16,3,FALSE)*INDEX('Emission Factors'!$B$340:$H$400,MATCH(C39,'Emission Factors'!$B$340:$B$400,0),MATCH(D39,'Emission Factors'!$B$340:$H$340,0)))*1000)</f>
        <v/>
      </c>
      <c r="H39" s="324"/>
      <c r="I39" s="324"/>
      <c r="J39" s="324"/>
      <c r="K39" s="324"/>
      <c r="L39" s="479"/>
      <c r="M39" s="479"/>
      <c r="N39" s="324"/>
      <c r="O39" s="324"/>
      <c r="P39" s="324"/>
      <c r="Q39" s="324"/>
      <c r="R39" s="324"/>
      <c r="S39" s="324"/>
      <c r="T39" s="324"/>
      <c r="U39" s="324"/>
      <c r="V39" s="324"/>
      <c r="W39" s="324"/>
      <c r="X39" s="324"/>
      <c r="Y39" s="324"/>
      <c r="Z39" s="324"/>
      <c r="AA39" s="324"/>
      <c r="AB39" s="324"/>
      <c r="AC39" s="324"/>
    </row>
    <row r="40" spans="1:29" s="27" customFormat="1">
      <c r="A40" s="98"/>
      <c r="B40" s="38"/>
      <c r="C40" s="251"/>
      <c r="D40" s="251"/>
      <c r="E40" s="107"/>
      <c r="F40" s="107"/>
      <c r="G40" s="666" t="str">
        <f>IF($E40="","",E40*(VLOOKUP($F40,'Unit Conversions'!$A$12:$C$16,3,FALSE)*INDEX('Emission Factors'!$B$340:$H$400,MATCH(C40,'Emission Factors'!$B$340:$B$400,0),MATCH(D40,'Emission Factors'!$B$340:$H$340,0)))*1000)</f>
        <v/>
      </c>
      <c r="H40" s="324"/>
      <c r="I40" s="324"/>
      <c r="J40" s="324"/>
      <c r="K40" s="324"/>
      <c r="L40" s="479"/>
      <c r="M40" s="480"/>
      <c r="N40" s="324"/>
      <c r="O40" s="324"/>
      <c r="P40" s="324"/>
      <c r="Q40" s="324"/>
      <c r="R40" s="324"/>
      <c r="S40" s="324"/>
      <c r="T40" s="324"/>
      <c r="U40" s="324"/>
      <c r="V40" s="324"/>
      <c r="W40" s="324"/>
      <c r="X40" s="324"/>
      <c r="Y40" s="324"/>
      <c r="Z40" s="324"/>
      <c r="AA40" s="324"/>
      <c r="AB40" s="324"/>
      <c r="AC40" s="324"/>
    </row>
    <row r="41" spans="1:29" s="27" customFormat="1">
      <c r="A41" s="98"/>
      <c r="B41" s="38"/>
      <c r="C41" s="251"/>
      <c r="D41" s="251"/>
      <c r="E41" s="107"/>
      <c r="F41" s="107"/>
      <c r="G41" s="666" t="str">
        <f>IF($E41="","",E41*(VLOOKUP($F41,'Unit Conversions'!$A$12:$C$16,3,FALSE)*INDEX('Emission Factors'!$B$340:$H$400,MATCH(C41,'Emission Factors'!$B$340:$B$400,0),MATCH(D41,'Emission Factors'!$B$340:$H$340,0)))*1000)</f>
        <v/>
      </c>
      <c r="H41" s="324"/>
      <c r="I41" s="324"/>
      <c r="J41" s="324"/>
      <c r="K41" s="324"/>
      <c r="L41" s="479"/>
      <c r="M41" s="480"/>
      <c r="N41" s="324"/>
      <c r="O41" s="324"/>
      <c r="P41" s="324"/>
      <c r="Q41" s="324"/>
      <c r="R41" s="324"/>
      <c r="S41" s="324"/>
      <c r="T41" s="324"/>
      <c r="U41" s="324"/>
      <c r="V41" s="324"/>
      <c r="W41" s="324"/>
      <c r="X41" s="324"/>
      <c r="Y41" s="324"/>
      <c r="Z41" s="324"/>
      <c r="AA41" s="324"/>
      <c r="AB41" s="324"/>
      <c r="AC41" s="324"/>
    </row>
    <row r="42" spans="1:29" s="27" customFormat="1">
      <c r="A42" s="98"/>
      <c r="B42" s="38"/>
      <c r="C42" s="251"/>
      <c r="D42" s="251"/>
      <c r="E42" s="107"/>
      <c r="F42" s="107"/>
      <c r="G42" s="666" t="str">
        <f>IF($E42="","",E42*(VLOOKUP($F42,'Unit Conversions'!$A$12:$C$16,3,FALSE)*INDEX('Emission Factors'!$B$340:$H$400,MATCH(C42,'Emission Factors'!$B$340:$B$400,0),MATCH(D42,'Emission Factors'!$B$340:$H$340,0)))*1000)</f>
        <v/>
      </c>
      <c r="H42" s="324"/>
      <c r="I42" s="324"/>
      <c r="J42" s="324"/>
      <c r="K42" s="324"/>
      <c r="L42" s="479"/>
      <c r="M42" s="480"/>
      <c r="N42" s="324"/>
      <c r="O42" s="324"/>
      <c r="P42" s="324"/>
      <c r="Q42" s="324"/>
      <c r="R42" s="324"/>
      <c r="S42" s="324"/>
      <c r="T42" s="324"/>
      <c r="U42" s="324"/>
      <c r="V42" s="324"/>
      <c r="W42" s="324"/>
      <c r="X42" s="324"/>
      <c r="Y42" s="324"/>
      <c r="Z42" s="324"/>
      <c r="AA42" s="324"/>
      <c r="AB42" s="324"/>
      <c r="AC42" s="324"/>
    </row>
    <row r="43" spans="1:29" s="27" customFormat="1">
      <c r="A43" s="98"/>
      <c r="B43" s="38"/>
      <c r="C43" s="251"/>
      <c r="D43" s="251"/>
      <c r="E43" s="107"/>
      <c r="F43" s="107"/>
      <c r="G43" s="666" t="str">
        <f>IF($E43="","",E43*(VLOOKUP($F43,'Unit Conversions'!$A$12:$C$16,3,FALSE)*INDEX('Emission Factors'!$B$340:$H$400,MATCH(C43,'Emission Factors'!$B$340:$B$400,0),MATCH(D43,'Emission Factors'!$B$340:$H$340,0)))*1000)</f>
        <v/>
      </c>
      <c r="H43" s="324"/>
      <c r="I43" s="324"/>
      <c r="J43" s="324"/>
      <c r="K43" s="324"/>
      <c r="L43" s="479"/>
      <c r="M43" s="480"/>
      <c r="N43" s="324"/>
      <c r="O43" s="324"/>
      <c r="P43" s="324"/>
      <c r="Q43" s="324"/>
      <c r="R43" s="324"/>
      <c r="S43" s="324"/>
      <c r="T43" s="324"/>
      <c r="U43" s="324"/>
      <c r="V43" s="324"/>
      <c r="W43" s="324"/>
      <c r="X43" s="324"/>
      <c r="Y43" s="324"/>
      <c r="Z43" s="324"/>
      <c r="AA43" s="324"/>
      <c r="AB43" s="324"/>
      <c r="AC43" s="324"/>
    </row>
    <row r="44" spans="1:29" s="27" customFormat="1">
      <c r="A44" s="98"/>
      <c r="B44" s="38"/>
      <c r="C44" s="251"/>
      <c r="D44" s="251"/>
      <c r="E44" s="107"/>
      <c r="F44" s="107"/>
      <c r="G44" s="666" t="str">
        <f>IF($E44="","",E44*(VLOOKUP($F44,'Unit Conversions'!$A$12:$C$16,3,FALSE)*INDEX('Emission Factors'!$B$340:$H$400,MATCH(C44,'Emission Factors'!$B$340:$B$400,0),MATCH(D44,'Emission Factors'!$B$340:$H$340,0)))*1000)</f>
        <v/>
      </c>
      <c r="H44" s="324"/>
      <c r="I44" s="324"/>
      <c r="J44" s="324"/>
      <c r="K44" s="324"/>
      <c r="L44" s="476"/>
      <c r="M44" s="476"/>
      <c r="N44" s="324"/>
      <c r="O44" s="324"/>
      <c r="P44" s="324"/>
      <c r="Q44" s="324"/>
      <c r="R44" s="324"/>
      <c r="S44" s="324"/>
      <c r="T44" s="324"/>
      <c r="U44" s="324"/>
      <c r="V44" s="324"/>
      <c r="W44" s="324"/>
      <c r="X44" s="324"/>
      <c r="Y44" s="324"/>
      <c r="Z44" s="324"/>
      <c r="AA44" s="324"/>
      <c r="AB44" s="324"/>
      <c r="AC44" s="324"/>
    </row>
    <row r="45" spans="1:29" s="27" customFormat="1">
      <c r="A45" s="98"/>
      <c r="B45" s="38"/>
      <c r="C45" s="251"/>
      <c r="D45" s="251"/>
      <c r="E45" s="107"/>
      <c r="F45" s="107"/>
      <c r="G45" s="666" t="str">
        <f>IF($E45="","",E45*(VLOOKUP($F45,'Unit Conversions'!$A$12:$C$16,3,FALSE)*INDEX('Emission Factors'!$B$340:$H$400,MATCH(C45,'Emission Factors'!$B$340:$B$400,0),MATCH(D45,'Emission Factors'!$B$340:$H$340,0)))*1000)</f>
        <v/>
      </c>
      <c r="H45" s="324"/>
      <c r="I45" s="324"/>
      <c r="J45" s="324"/>
      <c r="K45" s="324"/>
      <c r="L45" s="476"/>
      <c r="M45" s="476"/>
      <c r="N45" s="324"/>
      <c r="O45" s="324"/>
      <c r="P45" s="324"/>
      <c r="Q45" s="324"/>
      <c r="R45" s="324"/>
      <c r="S45" s="324"/>
      <c r="T45" s="324"/>
      <c r="U45" s="324"/>
      <c r="V45" s="324"/>
      <c r="W45" s="324"/>
      <c r="X45" s="324"/>
      <c r="Y45" s="324"/>
      <c r="Z45" s="324"/>
      <c r="AA45" s="324"/>
      <c r="AB45" s="324"/>
      <c r="AC45" s="324"/>
    </row>
    <row r="46" spans="1:29" s="27" customFormat="1">
      <c r="A46" s="98"/>
      <c r="B46" s="38"/>
      <c r="C46" s="251"/>
      <c r="D46" s="251"/>
      <c r="E46" s="107"/>
      <c r="F46" s="107"/>
      <c r="G46" s="666" t="str">
        <f>IF($E46="","",E46*(VLOOKUP($F46,'Unit Conversions'!$A$12:$C$16,3,FALSE)*INDEX('Emission Factors'!$B$340:$H$400,MATCH(C46,'Emission Factors'!$B$340:$B$400,0),MATCH(D46,'Emission Factors'!$B$340:$H$340,0)))*1000)</f>
        <v/>
      </c>
      <c r="H46" s="324"/>
      <c r="I46" s="324"/>
      <c r="J46" s="324"/>
      <c r="K46" s="324"/>
      <c r="L46" s="324"/>
      <c r="M46" s="324"/>
      <c r="N46" s="324"/>
      <c r="O46" s="324"/>
      <c r="P46" s="324"/>
      <c r="Q46" s="324"/>
      <c r="R46" s="324"/>
      <c r="S46" s="324"/>
      <c r="T46" s="324"/>
      <c r="U46" s="324"/>
      <c r="V46" s="324"/>
      <c r="W46" s="324"/>
      <c r="X46" s="324"/>
      <c r="Y46" s="324"/>
      <c r="Z46" s="324"/>
      <c r="AA46" s="324"/>
      <c r="AB46" s="324"/>
      <c r="AC46" s="324"/>
    </row>
    <row r="47" spans="1:29" s="27" customFormat="1">
      <c r="A47" s="98"/>
      <c r="B47" s="38"/>
      <c r="C47" s="251"/>
      <c r="D47" s="251"/>
      <c r="E47" s="107"/>
      <c r="F47" s="107"/>
      <c r="G47" s="666" t="str">
        <f>IF($E47="","",E47*(VLOOKUP($F47,'Unit Conversions'!$A$12:$C$16,3,FALSE)*INDEX('Emission Factors'!$B$340:$H$400,MATCH(C47,'Emission Factors'!$B$340:$B$400,0),MATCH(D47,'Emission Factors'!$B$340:$H$340,0)))*1000)</f>
        <v/>
      </c>
      <c r="H47" s="324"/>
      <c r="I47" s="324"/>
      <c r="J47" s="324"/>
      <c r="K47" s="324"/>
      <c r="L47" s="476"/>
      <c r="M47" s="476"/>
      <c r="N47" s="324"/>
      <c r="O47" s="324"/>
      <c r="P47" s="324"/>
      <c r="Q47" s="324"/>
      <c r="R47" s="324"/>
      <c r="S47" s="324"/>
      <c r="T47" s="324"/>
      <c r="U47" s="324"/>
      <c r="V47" s="324"/>
      <c r="W47" s="324"/>
      <c r="X47" s="324"/>
      <c r="Y47" s="324"/>
      <c r="Z47" s="324"/>
      <c r="AA47" s="324"/>
      <c r="AB47" s="324"/>
      <c r="AC47" s="324"/>
    </row>
    <row r="48" spans="1:29" s="27" customFormat="1">
      <c r="A48" s="98"/>
      <c r="B48" s="38"/>
      <c r="C48" s="251"/>
      <c r="D48" s="251"/>
      <c r="E48" s="107"/>
      <c r="F48" s="107"/>
      <c r="G48" s="666" t="str">
        <f>IF($E48="","",E48*(VLOOKUP($F48,'Unit Conversions'!$A$12:$C$16,3,FALSE)*INDEX('Emission Factors'!$B$340:$H$400,MATCH(C48,'Emission Factors'!$B$340:$B$400,0),MATCH(D48,'Emission Factors'!$B$340:$H$340,0)))*1000)</f>
        <v/>
      </c>
      <c r="H48" s="324"/>
      <c r="I48" s="324"/>
      <c r="J48" s="324"/>
      <c r="K48" s="324"/>
      <c r="L48" s="476"/>
      <c r="M48" s="476"/>
      <c r="N48" s="324"/>
      <c r="O48" s="324"/>
      <c r="P48" s="324"/>
      <c r="Q48" s="324"/>
      <c r="R48" s="324"/>
      <c r="S48" s="324"/>
      <c r="T48" s="324"/>
      <c r="U48" s="324"/>
      <c r="V48" s="324"/>
      <c r="W48" s="324"/>
      <c r="X48" s="324"/>
      <c r="Y48" s="324"/>
      <c r="Z48" s="324"/>
      <c r="AA48" s="324"/>
      <c r="AB48" s="324"/>
      <c r="AC48" s="324"/>
    </row>
    <row r="49" spans="1:29">
      <c r="A49" s="98"/>
      <c r="B49" s="38"/>
      <c r="C49" s="251"/>
      <c r="D49" s="251"/>
      <c r="E49" s="107"/>
      <c r="F49" s="107"/>
      <c r="G49" s="666" t="str">
        <f>IF($E49="","",E49*(VLOOKUP($F49,'Unit Conversions'!$A$12:$C$16,3,FALSE)*INDEX('Emission Factors'!$B$340:$H$400,MATCH(C49,'Emission Factors'!$B$340:$B$400,0),MATCH(D49,'Emission Factors'!$B$340:$H$340,0)))*1000)</f>
        <v/>
      </c>
      <c r="H49" s="230"/>
      <c r="I49" s="230"/>
      <c r="J49" s="230"/>
      <c r="K49" s="324"/>
      <c r="L49" s="476"/>
      <c r="M49" s="476"/>
      <c r="N49" s="324"/>
      <c r="O49" s="324"/>
      <c r="P49" s="324"/>
      <c r="Q49" s="324"/>
      <c r="R49" s="324"/>
      <c r="S49" s="324"/>
      <c r="T49" s="324"/>
      <c r="U49" s="230"/>
      <c r="V49" s="230"/>
      <c r="W49" s="230"/>
      <c r="X49" s="230"/>
      <c r="Y49" s="230"/>
      <c r="Z49" s="230"/>
      <c r="AA49" s="230"/>
      <c r="AB49" s="230"/>
      <c r="AC49" s="230"/>
    </row>
    <row r="50" spans="1:29">
      <c r="A50" s="98"/>
      <c r="B50" s="38"/>
      <c r="C50" s="251"/>
      <c r="D50" s="251"/>
      <c r="E50" s="107"/>
      <c r="F50" s="107"/>
      <c r="G50" s="1110" t="str">
        <f>IF($E50="","",E50*(VLOOKUP($F50,'Unit Conversions'!$A$12:$C$16,3,FALSE)*INDEX('Emission Factors'!$B$340:$H$400,MATCH(C50,'Emission Factors'!$B$340:$B$400,0),MATCH(D50,'Emission Factors'!$B$340:$H$340,0)))*1000)</f>
        <v/>
      </c>
      <c r="H50" s="230"/>
      <c r="I50" s="230"/>
      <c r="J50" s="230"/>
      <c r="K50" s="324"/>
      <c r="L50" s="476"/>
      <c r="M50" s="476"/>
      <c r="N50" s="324"/>
      <c r="O50" s="324"/>
      <c r="P50" s="324"/>
      <c r="Q50" s="324"/>
      <c r="R50" s="324"/>
      <c r="S50" s="324"/>
      <c r="T50" s="324"/>
      <c r="U50" s="230"/>
      <c r="V50" s="230"/>
      <c r="W50" s="230"/>
      <c r="X50" s="230"/>
      <c r="Y50" s="230"/>
      <c r="Z50" s="230"/>
      <c r="AA50" s="230"/>
      <c r="AB50" s="230"/>
      <c r="AC50" s="230"/>
    </row>
    <row r="51" spans="1:29">
      <c r="A51" s="78"/>
      <c r="B51" s="78"/>
      <c r="C51" s="78"/>
      <c r="D51" s="78"/>
      <c r="E51" s="96"/>
      <c r="F51" s="96"/>
      <c r="G51" s="230"/>
      <c r="H51" s="230"/>
      <c r="I51" s="230"/>
      <c r="J51" s="230"/>
      <c r="K51" s="230"/>
      <c r="L51" s="476"/>
      <c r="M51" s="476"/>
      <c r="N51" s="324"/>
      <c r="O51" s="230"/>
      <c r="P51" s="230"/>
      <c r="Q51" s="230"/>
      <c r="R51" s="230"/>
      <c r="S51" s="230"/>
      <c r="T51" s="230"/>
      <c r="U51" s="230"/>
      <c r="V51" s="230"/>
      <c r="W51" s="230"/>
      <c r="X51" s="230"/>
      <c r="Y51" s="230"/>
      <c r="Z51" s="230"/>
      <c r="AA51" s="230"/>
      <c r="AB51" s="230"/>
      <c r="AC51" s="230"/>
    </row>
    <row r="52" spans="1:29">
      <c r="A52" s="10"/>
      <c r="B52" s="10"/>
      <c r="C52" s="10"/>
      <c r="D52" s="10"/>
      <c r="E52" s="10"/>
      <c r="F52" s="10"/>
      <c r="G52" s="230"/>
      <c r="H52" s="230"/>
      <c r="I52" s="230"/>
      <c r="J52" s="230"/>
      <c r="K52" s="230"/>
      <c r="L52" s="476"/>
      <c r="M52" s="476"/>
      <c r="N52" s="324"/>
      <c r="O52" s="230"/>
      <c r="P52" s="230"/>
      <c r="Q52" s="230"/>
      <c r="R52" s="230"/>
      <c r="S52" s="230"/>
      <c r="T52" s="230"/>
      <c r="U52" s="230"/>
      <c r="V52" s="230"/>
      <c r="W52" s="230"/>
      <c r="X52" s="230"/>
      <c r="Y52" s="230"/>
      <c r="Z52" s="230"/>
      <c r="AA52" s="230"/>
      <c r="AB52" s="230"/>
      <c r="AC52" s="230"/>
    </row>
    <row r="53" spans="1:29">
      <c r="A53" s="361" t="s">
        <v>377</v>
      </c>
      <c r="B53" s="321"/>
      <c r="C53" s="321"/>
      <c r="D53" s="321"/>
      <c r="E53" s="322"/>
      <c r="F53" s="322"/>
      <c r="G53" s="230"/>
      <c r="H53" s="230"/>
      <c r="I53" s="230"/>
      <c r="J53" s="230"/>
      <c r="K53" s="230"/>
      <c r="L53" s="476"/>
      <c r="M53" s="476"/>
      <c r="N53" s="324"/>
      <c r="O53" s="230"/>
      <c r="P53" s="230"/>
      <c r="Q53" s="230"/>
      <c r="R53" s="230"/>
      <c r="S53" s="230"/>
      <c r="T53" s="230"/>
      <c r="U53" s="230"/>
      <c r="V53" s="230"/>
      <c r="W53" s="230"/>
      <c r="X53" s="230"/>
      <c r="Y53" s="230"/>
      <c r="Z53" s="230"/>
      <c r="AA53" s="230"/>
      <c r="AB53" s="230"/>
      <c r="AC53" s="230"/>
    </row>
    <row r="54" spans="1:29">
      <c r="A54" s="362"/>
      <c r="B54" s="324"/>
      <c r="C54" s="324"/>
      <c r="D54" s="324"/>
      <c r="E54" s="326"/>
      <c r="F54" s="326"/>
      <c r="G54" s="230"/>
      <c r="H54" s="230"/>
      <c r="I54" s="230"/>
      <c r="J54" s="230"/>
      <c r="K54" s="230"/>
      <c r="L54" s="476"/>
      <c r="M54" s="476"/>
      <c r="N54" s="324"/>
      <c r="O54" s="230"/>
      <c r="P54" s="230"/>
      <c r="Q54" s="230"/>
      <c r="R54" s="230"/>
      <c r="S54" s="230"/>
      <c r="T54" s="230"/>
      <c r="U54" s="230"/>
      <c r="V54" s="230"/>
      <c r="W54" s="230"/>
      <c r="X54" s="230"/>
      <c r="Y54" s="230"/>
      <c r="Z54" s="230"/>
      <c r="AA54" s="230"/>
      <c r="AB54" s="230"/>
      <c r="AC54" s="230"/>
    </row>
    <row r="55" spans="1:29" ht="13.5" thickBot="1">
      <c r="A55" s="13" t="s">
        <v>1301</v>
      </c>
      <c r="B55" s="10"/>
      <c r="C55" s="10"/>
      <c r="D55" s="10"/>
      <c r="E55" s="10"/>
      <c r="F55" s="10"/>
      <c r="G55" s="230"/>
      <c r="H55" s="230"/>
      <c r="I55" s="230"/>
      <c r="J55" s="230"/>
      <c r="K55" s="230"/>
      <c r="L55" s="476"/>
      <c r="M55" s="476"/>
      <c r="N55" s="324"/>
      <c r="O55" s="230"/>
      <c r="P55" s="230"/>
      <c r="Q55" s="230"/>
      <c r="R55" s="230"/>
      <c r="S55" s="230"/>
      <c r="T55" s="230"/>
      <c r="U55" s="230"/>
      <c r="V55" s="230"/>
      <c r="W55" s="230"/>
      <c r="X55" s="230"/>
      <c r="Y55" s="230"/>
      <c r="Z55" s="230"/>
      <c r="AA55" s="230"/>
      <c r="AB55" s="230"/>
      <c r="AC55" s="230"/>
    </row>
    <row r="56" spans="1:29" ht="15" thickBot="1">
      <c r="A56" s="1065" t="s">
        <v>1210</v>
      </c>
      <c r="B56" s="266" t="s">
        <v>1212</v>
      </c>
      <c r="C56" s="230"/>
      <c r="D56" s="10"/>
      <c r="E56" s="10"/>
      <c r="F56" s="10"/>
      <c r="G56" s="230"/>
      <c r="H56" s="230"/>
      <c r="I56" s="230"/>
      <c r="J56" s="230"/>
      <c r="K56" s="230"/>
      <c r="L56" s="476"/>
      <c r="M56" s="476"/>
      <c r="N56" s="324"/>
      <c r="O56" s="230"/>
      <c r="P56" s="230"/>
      <c r="Q56" s="230"/>
      <c r="R56" s="230"/>
      <c r="S56" s="230"/>
      <c r="T56" s="230"/>
      <c r="U56" s="230"/>
      <c r="V56" s="230"/>
      <c r="W56" s="230"/>
      <c r="X56" s="230"/>
      <c r="Y56" s="230"/>
      <c r="Z56" s="230"/>
      <c r="AA56" s="230"/>
      <c r="AB56" s="230"/>
      <c r="AC56" s="230"/>
    </row>
    <row r="57" spans="1:29">
      <c r="A57" s="1067" t="s">
        <v>1277</v>
      </c>
      <c r="B57" s="1087">
        <f>SUMIF($D$13:$D$50,$A57,G$13:G$50)</f>
        <v>189.05000000000004</v>
      </c>
      <c r="C57" s="230"/>
      <c r="D57" s="10"/>
      <c r="E57" s="10"/>
      <c r="F57" s="10"/>
      <c r="G57" s="230"/>
      <c r="H57" s="230"/>
      <c r="I57" s="230"/>
      <c r="J57" s="230"/>
      <c r="K57" s="230"/>
      <c r="L57" s="476"/>
      <c r="M57" s="476"/>
      <c r="N57" s="324"/>
      <c r="O57" s="230"/>
      <c r="P57" s="230"/>
      <c r="Q57" s="230"/>
      <c r="R57" s="230"/>
      <c r="S57" s="230"/>
      <c r="T57" s="230"/>
      <c r="U57" s="230"/>
      <c r="V57" s="230"/>
      <c r="W57" s="230"/>
      <c r="X57" s="230"/>
      <c r="Y57" s="230"/>
      <c r="Z57" s="230"/>
      <c r="AA57" s="230"/>
      <c r="AB57" s="230"/>
      <c r="AC57" s="230"/>
    </row>
    <row r="58" spans="1:29">
      <c r="A58" s="1066" t="s">
        <v>1278</v>
      </c>
      <c r="B58" s="288">
        <f t="shared" ref="B58:B62" si="0">SUMIF($D$13:$D$50,$A58,G$13:G$50)</f>
        <v>2737.0350000000003</v>
      </c>
      <c r="C58" s="230"/>
      <c r="D58" s="10"/>
      <c r="E58" s="10"/>
      <c r="F58" s="10"/>
      <c r="G58" s="230"/>
      <c r="H58" s="230"/>
      <c r="I58" s="230"/>
      <c r="J58" s="230"/>
      <c r="K58" s="230"/>
      <c r="L58" s="476"/>
      <c r="M58" s="476"/>
      <c r="N58" s="324"/>
      <c r="O58" s="230"/>
      <c r="P58" s="230"/>
      <c r="Q58" s="230"/>
      <c r="R58" s="230"/>
      <c r="S58" s="230"/>
      <c r="T58" s="230"/>
      <c r="U58" s="230"/>
      <c r="V58" s="230"/>
      <c r="W58" s="230"/>
      <c r="X58" s="230"/>
      <c r="Y58" s="230"/>
      <c r="Z58" s="230"/>
      <c r="AA58" s="230"/>
      <c r="AB58" s="230"/>
      <c r="AC58" s="230"/>
    </row>
    <row r="59" spans="1:29">
      <c r="A59" s="1075" t="s">
        <v>168</v>
      </c>
      <c r="B59" s="288">
        <f t="shared" si="0"/>
        <v>0</v>
      </c>
      <c r="C59" s="230"/>
      <c r="D59" s="10"/>
      <c r="E59" s="10"/>
      <c r="F59" s="10"/>
      <c r="G59" s="230"/>
      <c r="H59" s="230"/>
      <c r="I59" s="230"/>
      <c r="J59" s="230"/>
      <c r="K59" s="230"/>
      <c r="L59" s="476"/>
      <c r="M59" s="476"/>
      <c r="N59" s="324"/>
      <c r="O59" s="230"/>
      <c r="P59" s="230"/>
      <c r="Q59" s="230"/>
      <c r="R59" s="230"/>
      <c r="S59" s="230"/>
      <c r="T59" s="230"/>
      <c r="U59" s="230"/>
      <c r="V59" s="230"/>
      <c r="W59" s="230"/>
      <c r="X59" s="230"/>
      <c r="Y59" s="230"/>
      <c r="Z59" s="230"/>
      <c r="AA59" s="230"/>
      <c r="AB59" s="230"/>
      <c r="AC59" s="230"/>
    </row>
    <row r="60" spans="1:29">
      <c r="A60" s="1075" t="s">
        <v>1279</v>
      </c>
      <c r="B60" s="288">
        <f t="shared" si="0"/>
        <v>0</v>
      </c>
      <c r="C60" s="230"/>
      <c r="D60" s="10"/>
      <c r="E60" s="10"/>
      <c r="F60" s="10"/>
      <c r="G60" s="230"/>
      <c r="H60" s="230"/>
      <c r="I60" s="230"/>
      <c r="J60" s="230"/>
      <c r="K60" s="230"/>
      <c r="L60" s="476"/>
      <c r="M60" s="476"/>
      <c r="N60" s="324"/>
      <c r="O60" s="230"/>
      <c r="P60" s="230"/>
      <c r="Q60" s="230"/>
      <c r="R60" s="230"/>
      <c r="S60" s="230"/>
      <c r="T60" s="230"/>
      <c r="U60" s="230"/>
      <c r="V60" s="230"/>
      <c r="W60" s="230"/>
      <c r="X60" s="230"/>
      <c r="Y60" s="230"/>
      <c r="Z60" s="230"/>
      <c r="AA60" s="230"/>
      <c r="AB60" s="230"/>
      <c r="AC60" s="230"/>
    </row>
    <row r="61" spans="1:29">
      <c r="A61" s="1075" t="s">
        <v>1275</v>
      </c>
      <c r="B61" s="288">
        <f>SUMIF($D$13:$D$50,$A61,G$13:G$50)</f>
        <v>0</v>
      </c>
      <c r="C61" s="230"/>
      <c r="D61" s="10"/>
      <c r="E61" s="10"/>
      <c r="F61" s="10"/>
      <c r="G61" s="230"/>
      <c r="H61" s="230"/>
      <c r="I61" s="230"/>
      <c r="J61" s="230"/>
      <c r="K61" s="230"/>
      <c r="L61" s="476"/>
      <c r="M61" s="476"/>
      <c r="N61" s="324"/>
      <c r="O61" s="230"/>
      <c r="P61" s="230"/>
      <c r="Q61" s="230"/>
      <c r="R61" s="230"/>
      <c r="S61" s="230"/>
      <c r="T61" s="230"/>
      <c r="U61" s="230"/>
      <c r="V61" s="230"/>
      <c r="W61" s="230"/>
      <c r="X61" s="230"/>
      <c r="Y61" s="230"/>
      <c r="Z61" s="230"/>
      <c r="AA61" s="230"/>
      <c r="AB61" s="230"/>
      <c r="AC61" s="230"/>
    </row>
    <row r="62" spans="1:29" ht="13.5" thickBot="1">
      <c r="A62" s="1076" t="s">
        <v>1276</v>
      </c>
      <c r="B62" s="289">
        <f t="shared" si="0"/>
        <v>0</v>
      </c>
      <c r="C62" s="230"/>
      <c r="D62" s="10"/>
      <c r="E62" s="10"/>
      <c r="F62" s="10"/>
      <c r="G62" s="230"/>
      <c r="H62" s="230"/>
      <c r="I62" s="230"/>
      <c r="J62" s="230"/>
      <c r="K62" s="230"/>
      <c r="L62" s="476"/>
      <c r="M62" s="476"/>
      <c r="N62" s="324"/>
      <c r="O62" s="230"/>
      <c r="P62" s="230"/>
      <c r="Q62" s="230"/>
      <c r="R62" s="230"/>
      <c r="S62" s="230"/>
      <c r="T62" s="230"/>
      <c r="U62" s="230"/>
      <c r="V62" s="230"/>
      <c r="W62" s="230"/>
      <c r="X62" s="230"/>
      <c r="Y62" s="230"/>
      <c r="Z62" s="230"/>
      <c r="AA62" s="230"/>
      <c r="AB62" s="230"/>
      <c r="AC62" s="230"/>
    </row>
    <row r="63" spans="1:29" s="7" customFormat="1" ht="13.5" thickBot="1">
      <c r="A63" s="230"/>
      <c r="B63" s="230"/>
      <c r="C63" s="230"/>
      <c r="D63" s="10"/>
      <c r="E63" s="10"/>
      <c r="F63" s="10"/>
      <c r="G63" s="324"/>
      <c r="H63" s="230"/>
      <c r="I63" s="324"/>
      <c r="J63" s="324"/>
      <c r="K63" s="324"/>
      <c r="L63" s="476"/>
      <c r="M63" s="476"/>
      <c r="N63" s="324"/>
      <c r="O63" s="324"/>
      <c r="P63" s="324"/>
      <c r="Q63" s="324"/>
      <c r="R63" s="324"/>
      <c r="S63" s="324"/>
      <c r="T63" s="324"/>
      <c r="U63" s="324"/>
      <c r="V63" s="324"/>
      <c r="W63" s="324"/>
      <c r="X63" s="324"/>
      <c r="Y63" s="324"/>
      <c r="Z63" s="324"/>
      <c r="AA63" s="324"/>
      <c r="AB63" s="324"/>
      <c r="AC63" s="324"/>
    </row>
    <row r="64" spans="1:29">
      <c r="A64" s="344"/>
      <c r="B64" s="593"/>
      <c r="C64" s="593"/>
      <c r="D64" s="594"/>
      <c r="E64" s="230"/>
      <c r="F64" s="230"/>
      <c r="G64" s="230"/>
      <c r="H64" s="230"/>
      <c r="I64" s="230"/>
      <c r="J64" s="230"/>
      <c r="K64" s="230"/>
      <c r="L64" s="233"/>
      <c r="M64" s="233"/>
      <c r="N64" s="230"/>
      <c r="O64" s="230"/>
      <c r="P64" s="230"/>
      <c r="Q64" s="230"/>
      <c r="R64" s="230"/>
      <c r="S64" s="230"/>
      <c r="T64" s="230"/>
      <c r="U64" s="230"/>
      <c r="V64" s="230"/>
      <c r="W64" s="230"/>
      <c r="X64" s="230"/>
      <c r="Y64" s="230"/>
      <c r="Z64" s="230"/>
      <c r="AA64" s="230"/>
      <c r="AB64" s="230"/>
      <c r="AC64" s="230"/>
    </row>
    <row r="65" spans="1:29" ht="15" thickBot="1">
      <c r="A65" s="345" t="s">
        <v>1291</v>
      </c>
      <c r="B65" s="595"/>
      <c r="C65" s="595"/>
      <c r="D65" s="343">
        <f>SUM(B57:B62)/1000</f>
        <v>2.9260850000000005</v>
      </c>
      <c r="E65" s="230"/>
      <c r="F65" s="230"/>
      <c r="G65" s="230"/>
      <c r="H65" s="230"/>
      <c r="I65" s="469"/>
      <c r="J65" s="469"/>
      <c r="K65" s="230"/>
      <c r="L65" s="233"/>
      <c r="M65" s="233"/>
      <c r="N65" s="230"/>
      <c r="O65" s="230"/>
      <c r="P65" s="230"/>
      <c r="Q65" s="230"/>
      <c r="R65" s="230"/>
      <c r="S65" s="230"/>
      <c r="T65" s="230"/>
      <c r="U65" s="230"/>
      <c r="V65" s="230"/>
      <c r="W65" s="230"/>
      <c r="X65" s="230"/>
      <c r="Y65" s="230"/>
      <c r="Z65" s="230"/>
      <c r="AA65" s="230"/>
      <c r="AB65" s="230"/>
      <c r="AC65" s="230"/>
    </row>
    <row r="66" spans="1:29">
      <c r="A66" s="230"/>
      <c r="B66" s="230"/>
      <c r="C66" s="230"/>
      <c r="D66" s="230"/>
      <c r="E66" s="230"/>
      <c r="F66" s="230"/>
      <c r="G66" s="230"/>
      <c r="H66" s="230"/>
      <c r="I66" s="465"/>
      <c r="J66" s="230"/>
      <c r="K66" s="230"/>
      <c r="L66" s="233"/>
      <c r="M66" s="233"/>
      <c r="N66" s="230"/>
      <c r="O66" s="230"/>
      <c r="P66" s="230"/>
      <c r="Q66" s="230"/>
      <c r="R66" s="230"/>
      <c r="S66" s="230"/>
      <c r="T66" s="230"/>
      <c r="U66" s="230"/>
      <c r="V66" s="230"/>
      <c r="W66" s="230"/>
      <c r="X66" s="230"/>
      <c r="Y66" s="230"/>
      <c r="Z66" s="230"/>
      <c r="AA66" s="230"/>
      <c r="AB66" s="230"/>
      <c r="AC66" s="230"/>
    </row>
    <row r="67" spans="1:29">
      <c r="A67" s="230"/>
      <c r="B67" s="230"/>
      <c r="C67" s="230"/>
      <c r="D67" s="230"/>
      <c r="E67" s="230"/>
      <c r="F67" s="230"/>
      <c r="G67" s="230"/>
      <c r="H67" s="230"/>
      <c r="I67" s="230"/>
      <c r="J67" s="230"/>
      <c r="K67" s="230"/>
      <c r="L67" s="233"/>
      <c r="M67" s="233"/>
      <c r="N67" s="230"/>
      <c r="O67" s="230"/>
      <c r="P67" s="230"/>
      <c r="Q67" s="230"/>
      <c r="R67" s="230"/>
      <c r="S67" s="230"/>
      <c r="T67" s="230"/>
      <c r="U67" s="230"/>
      <c r="V67" s="230"/>
      <c r="W67" s="230"/>
      <c r="X67" s="230"/>
      <c r="Y67" s="230"/>
      <c r="Z67" s="230"/>
      <c r="AA67" s="230"/>
      <c r="AB67" s="230"/>
      <c r="AC67" s="230"/>
    </row>
    <row r="68" spans="1:29">
      <c r="A68" s="230"/>
      <c r="B68" s="230"/>
      <c r="C68" s="230"/>
      <c r="D68" s="230"/>
      <c r="E68" s="230"/>
      <c r="F68" s="230"/>
      <c r="G68" s="230"/>
      <c r="H68" s="230"/>
      <c r="I68" s="230"/>
      <c r="J68" s="230"/>
      <c r="K68" s="230"/>
      <c r="L68" s="233"/>
      <c r="M68" s="233"/>
      <c r="N68" s="230"/>
      <c r="O68" s="230"/>
      <c r="P68" s="230"/>
      <c r="Q68" s="230"/>
      <c r="R68" s="230"/>
      <c r="S68" s="230"/>
      <c r="T68" s="230"/>
      <c r="U68" s="230"/>
      <c r="V68" s="230"/>
      <c r="W68" s="230"/>
      <c r="X68" s="230"/>
      <c r="Y68" s="230"/>
      <c r="Z68" s="230"/>
      <c r="AA68" s="230"/>
      <c r="AB68" s="230"/>
      <c r="AC68" s="230"/>
    </row>
    <row r="69" spans="1:29">
      <c r="A69" s="230"/>
      <c r="B69" s="230"/>
      <c r="C69" s="230"/>
      <c r="D69" s="230"/>
      <c r="E69" s="230"/>
      <c r="F69" s="230"/>
      <c r="G69" s="230"/>
      <c r="H69" s="230"/>
      <c r="I69" s="230"/>
      <c r="J69" s="230"/>
      <c r="K69" s="230"/>
      <c r="L69" s="233"/>
      <c r="M69" s="233"/>
      <c r="N69" s="230"/>
      <c r="O69" s="230"/>
      <c r="P69" s="230"/>
      <c r="Q69" s="230"/>
      <c r="R69" s="230"/>
      <c r="S69" s="230"/>
      <c r="T69" s="230"/>
      <c r="U69" s="230"/>
      <c r="V69" s="230"/>
      <c r="W69" s="230"/>
      <c r="X69" s="230"/>
      <c r="Y69" s="230"/>
      <c r="Z69" s="230"/>
      <c r="AA69" s="230"/>
      <c r="AB69" s="230"/>
      <c r="AC69" s="230"/>
    </row>
    <row r="70" spans="1:29">
      <c r="A70" s="230"/>
      <c r="B70" s="230"/>
      <c r="C70" s="230"/>
      <c r="D70" s="230"/>
      <c r="E70" s="230"/>
      <c r="F70" s="230"/>
      <c r="G70" s="230"/>
      <c r="H70" s="230"/>
      <c r="I70" s="230"/>
      <c r="J70" s="230"/>
      <c r="K70" s="230"/>
      <c r="L70" s="233"/>
      <c r="M70" s="233"/>
      <c r="N70" s="230"/>
      <c r="O70" s="230"/>
      <c r="P70" s="230"/>
      <c r="Q70" s="230"/>
      <c r="R70" s="230"/>
      <c r="S70" s="230"/>
      <c r="T70" s="230"/>
      <c r="U70" s="230"/>
      <c r="V70" s="230"/>
      <c r="W70" s="230"/>
      <c r="X70" s="230"/>
      <c r="Y70" s="230"/>
      <c r="Z70" s="230"/>
      <c r="AA70" s="230"/>
      <c r="AB70" s="230"/>
      <c r="AC70" s="230"/>
    </row>
    <row r="71" spans="1:29">
      <c r="A71" s="230"/>
      <c r="B71" s="230"/>
      <c r="C71" s="230"/>
      <c r="D71" s="230"/>
      <c r="E71" s="230"/>
      <c r="F71" s="230"/>
      <c r="G71" s="230"/>
      <c r="H71" s="230"/>
      <c r="I71" s="230"/>
      <c r="J71" s="230"/>
      <c r="K71" s="230"/>
      <c r="L71" s="233"/>
      <c r="M71" s="233"/>
      <c r="N71" s="230"/>
      <c r="O71" s="230"/>
      <c r="P71" s="230"/>
      <c r="Q71" s="230"/>
      <c r="R71" s="230"/>
      <c r="S71" s="230"/>
      <c r="T71" s="230"/>
      <c r="U71" s="230"/>
      <c r="V71" s="230"/>
      <c r="W71" s="230"/>
      <c r="X71" s="230"/>
      <c r="Y71" s="230"/>
      <c r="Z71" s="230"/>
      <c r="AA71" s="230"/>
      <c r="AB71" s="230"/>
      <c r="AC71" s="230"/>
    </row>
    <row r="72" spans="1:29">
      <c r="A72" s="230"/>
      <c r="B72" s="230"/>
      <c r="C72" s="230"/>
      <c r="D72" s="230"/>
      <c r="E72" s="230"/>
      <c r="F72" s="230"/>
      <c r="G72" s="230"/>
      <c r="H72" s="230"/>
      <c r="I72" s="230"/>
      <c r="J72" s="230"/>
      <c r="K72" s="230"/>
      <c r="L72" s="233"/>
      <c r="M72" s="233"/>
      <c r="N72" s="230"/>
      <c r="O72" s="230"/>
      <c r="P72" s="230"/>
      <c r="Q72" s="230"/>
      <c r="R72" s="230"/>
      <c r="S72" s="230"/>
      <c r="T72" s="230"/>
      <c r="U72" s="230"/>
      <c r="V72" s="230"/>
      <c r="W72" s="230"/>
      <c r="X72" s="230"/>
      <c r="Y72" s="230"/>
      <c r="Z72" s="230"/>
      <c r="AA72" s="230"/>
      <c r="AB72" s="230"/>
      <c r="AC72" s="230"/>
    </row>
    <row r="73" spans="1:29">
      <c r="A73" s="230"/>
      <c r="B73" s="230"/>
      <c r="C73" s="230"/>
      <c r="D73" s="230"/>
      <c r="E73" s="230"/>
      <c r="F73" s="230"/>
      <c r="G73" s="230"/>
      <c r="H73" s="230"/>
      <c r="I73" s="230"/>
      <c r="J73" s="230"/>
      <c r="K73" s="230"/>
      <c r="L73" s="233"/>
      <c r="M73" s="233"/>
      <c r="N73" s="230"/>
      <c r="O73" s="230"/>
      <c r="P73" s="230"/>
      <c r="Q73" s="230"/>
      <c r="R73" s="230"/>
      <c r="S73" s="230"/>
      <c r="T73" s="230"/>
      <c r="U73" s="230"/>
      <c r="V73" s="230"/>
      <c r="W73" s="230"/>
      <c r="X73" s="230"/>
      <c r="Y73" s="230"/>
      <c r="Z73" s="230"/>
      <c r="AA73" s="230"/>
      <c r="AB73" s="230"/>
      <c r="AC73" s="230"/>
    </row>
    <row r="74" spans="1:29">
      <c r="A74" s="230"/>
      <c r="B74" s="230"/>
      <c r="C74" s="230"/>
      <c r="D74" s="230"/>
      <c r="E74" s="230"/>
      <c r="F74" s="230"/>
      <c r="G74" s="230"/>
      <c r="H74" s="230"/>
      <c r="I74" s="230"/>
      <c r="J74" s="230"/>
      <c r="K74" s="230"/>
      <c r="L74" s="233"/>
      <c r="M74" s="233"/>
      <c r="N74" s="230"/>
      <c r="O74" s="230"/>
      <c r="P74" s="230"/>
      <c r="Q74" s="230"/>
      <c r="R74" s="230"/>
      <c r="S74" s="230"/>
      <c r="T74" s="230"/>
      <c r="U74" s="230"/>
      <c r="V74" s="230"/>
      <c r="W74" s="230"/>
      <c r="X74" s="230"/>
      <c r="Y74" s="230"/>
      <c r="Z74" s="230"/>
      <c r="AA74" s="230"/>
      <c r="AB74" s="230"/>
      <c r="AC74" s="230"/>
    </row>
    <row r="75" spans="1:29">
      <c r="A75" s="230"/>
      <c r="B75" s="230"/>
      <c r="C75" s="230"/>
      <c r="D75" s="230"/>
      <c r="E75" s="230"/>
      <c r="F75" s="230"/>
      <c r="G75" s="230"/>
      <c r="H75" s="230"/>
      <c r="I75" s="230"/>
      <c r="J75" s="230"/>
      <c r="K75" s="230"/>
      <c r="L75" s="233"/>
      <c r="M75" s="233"/>
      <c r="N75" s="230"/>
      <c r="O75" s="230"/>
      <c r="P75" s="230"/>
      <c r="Q75" s="230"/>
      <c r="R75" s="230"/>
      <c r="S75" s="230"/>
      <c r="T75" s="230"/>
      <c r="U75" s="230"/>
      <c r="V75" s="230"/>
      <c r="W75" s="230"/>
      <c r="X75" s="230"/>
      <c r="Y75" s="230"/>
      <c r="Z75" s="230"/>
      <c r="AA75" s="230"/>
      <c r="AB75" s="230"/>
      <c r="AC75" s="230"/>
    </row>
    <row r="76" spans="1:29">
      <c r="A76" s="230"/>
      <c r="B76" s="230"/>
      <c r="C76" s="230"/>
      <c r="D76" s="230"/>
      <c r="E76" s="230"/>
      <c r="F76" s="230"/>
      <c r="G76" s="230"/>
      <c r="H76" s="230"/>
      <c r="I76" s="230"/>
      <c r="J76" s="230"/>
      <c r="K76" s="230"/>
      <c r="L76" s="233"/>
      <c r="M76" s="233"/>
      <c r="N76" s="230"/>
      <c r="O76" s="230"/>
      <c r="P76" s="230"/>
      <c r="Q76" s="230"/>
      <c r="R76" s="230"/>
      <c r="S76" s="230"/>
      <c r="T76" s="230"/>
      <c r="U76" s="230"/>
      <c r="V76" s="230"/>
      <c r="W76" s="230"/>
      <c r="X76" s="230"/>
      <c r="Y76" s="230"/>
      <c r="Z76" s="230"/>
      <c r="AA76" s="230"/>
      <c r="AB76" s="230"/>
      <c r="AC76" s="230"/>
    </row>
    <row r="77" spans="1:29">
      <c r="A77" s="230"/>
      <c r="B77" s="230"/>
      <c r="C77" s="230"/>
      <c r="D77" s="230"/>
      <c r="E77" s="230"/>
      <c r="F77" s="230"/>
      <c r="G77" s="230"/>
      <c r="H77" s="230"/>
      <c r="I77" s="230"/>
      <c r="J77" s="230"/>
      <c r="K77" s="230"/>
      <c r="L77" s="233"/>
      <c r="M77" s="233"/>
      <c r="N77" s="230"/>
      <c r="O77" s="230"/>
      <c r="P77" s="230"/>
      <c r="Q77" s="230"/>
      <c r="R77" s="230"/>
      <c r="S77" s="230"/>
      <c r="T77" s="230"/>
      <c r="U77" s="230"/>
      <c r="V77" s="230"/>
      <c r="W77" s="230"/>
      <c r="X77" s="230"/>
      <c r="Y77" s="230"/>
      <c r="Z77" s="230"/>
      <c r="AA77" s="230"/>
      <c r="AB77" s="230"/>
      <c r="AC77" s="230"/>
    </row>
    <row r="78" spans="1:29">
      <c r="A78" s="230"/>
      <c r="B78" s="230"/>
      <c r="C78" s="230"/>
      <c r="D78" s="230"/>
      <c r="E78" s="230"/>
      <c r="F78" s="230"/>
      <c r="G78" s="230"/>
      <c r="H78" s="230"/>
      <c r="I78" s="230"/>
      <c r="J78" s="230"/>
      <c r="K78" s="230"/>
      <c r="L78" s="233"/>
      <c r="M78" s="233"/>
      <c r="N78" s="230"/>
      <c r="O78" s="230"/>
      <c r="P78" s="230"/>
      <c r="Q78" s="230"/>
      <c r="R78" s="230"/>
      <c r="S78" s="230"/>
      <c r="T78" s="230"/>
      <c r="U78" s="230"/>
      <c r="V78" s="230"/>
      <c r="W78" s="230"/>
      <c r="X78" s="230"/>
      <c r="Y78" s="230"/>
      <c r="Z78" s="230"/>
      <c r="AA78" s="230"/>
      <c r="AB78" s="230"/>
      <c r="AC78" s="230"/>
    </row>
    <row r="79" spans="1:29">
      <c r="A79" s="230"/>
      <c r="B79" s="230"/>
      <c r="C79" s="230"/>
      <c r="D79" s="230"/>
      <c r="E79" s="230"/>
      <c r="F79" s="230"/>
      <c r="G79" s="230"/>
      <c r="H79" s="230"/>
      <c r="I79" s="230"/>
      <c r="J79" s="230"/>
      <c r="K79" s="230"/>
      <c r="L79" s="233"/>
      <c r="M79" s="233"/>
      <c r="N79" s="230"/>
      <c r="O79" s="230"/>
      <c r="P79" s="230"/>
      <c r="Q79" s="230"/>
      <c r="R79" s="230"/>
      <c r="S79" s="230"/>
      <c r="T79" s="230"/>
      <c r="U79" s="230"/>
      <c r="V79" s="230"/>
      <c r="W79" s="230"/>
      <c r="X79" s="230"/>
      <c r="Y79" s="230"/>
      <c r="Z79" s="230"/>
      <c r="AA79" s="230"/>
      <c r="AB79" s="230"/>
      <c r="AC79" s="230"/>
    </row>
    <row r="80" spans="1:29">
      <c r="A80" s="230"/>
      <c r="B80" s="230"/>
      <c r="C80" s="230"/>
      <c r="D80" s="230"/>
      <c r="E80" s="230"/>
      <c r="F80" s="230"/>
      <c r="G80" s="230"/>
      <c r="H80" s="230"/>
      <c r="I80" s="230"/>
      <c r="J80" s="230"/>
      <c r="K80" s="230"/>
      <c r="L80" s="233"/>
      <c r="M80" s="233"/>
      <c r="N80" s="230"/>
      <c r="O80" s="230"/>
      <c r="P80" s="230"/>
      <c r="Q80" s="230"/>
      <c r="R80" s="230"/>
      <c r="S80" s="230"/>
      <c r="T80" s="230"/>
      <c r="U80" s="230"/>
      <c r="V80" s="230"/>
      <c r="W80" s="230"/>
      <c r="X80" s="230"/>
      <c r="Y80" s="230"/>
      <c r="Z80" s="230"/>
      <c r="AA80" s="230"/>
      <c r="AB80" s="230"/>
      <c r="AC80" s="230"/>
    </row>
    <row r="81" spans="1:29">
      <c r="A81" s="230"/>
      <c r="B81" s="230"/>
      <c r="C81" s="230"/>
      <c r="D81" s="230"/>
      <c r="E81" s="230"/>
      <c r="F81" s="230"/>
      <c r="G81" s="230"/>
      <c r="H81" s="230"/>
      <c r="I81" s="230"/>
      <c r="J81" s="230"/>
      <c r="K81" s="230"/>
      <c r="L81" s="233"/>
      <c r="M81" s="233"/>
      <c r="N81" s="230"/>
      <c r="O81" s="230"/>
      <c r="P81" s="230"/>
      <c r="Q81" s="230"/>
      <c r="R81" s="230"/>
      <c r="S81" s="230"/>
      <c r="T81" s="230"/>
      <c r="U81" s="230"/>
      <c r="V81" s="230"/>
      <c r="W81" s="230"/>
      <c r="X81" s="230"/>
      <c r="Y81" s="230"/>
      <c r="Z81" s="230"/>
      <c r="AA81" s="230"/>
      <c r="AB81" s="230"/>
      <c r="AC81" s="230"/>
    </row>
    <row r="82" spans="1:29">
      <c r="A82" s="230"/>
      <c r="B82" s="230"/>
      <c r="C82" s="230"/>
      <c r="D82" s="230"/>
      <c r="E82" s="230"/>
      <c r="F82" s="230"/>
      <c r="G82" s="230"/>
      <c r="H82" s="230"/>
      <c r="I82" s="230"/>
      <c r="J82" s="230"/>
      <c r="K82" s="230"/>
      <c r="L82" s="233"/>
      <c r="M82" s="233"/>
      <c r="N82" s="230"/>
      <c r="O82" s="230"/>
      <c r="P82" s="230"/>
      <c r="Q82" s="230"/>
      <c r="R82" s="230"/>
      <c r="S82" s="230"/>
      <c r="T82" s="230"/>
      <c r="U82" s="230"/>
      <c r="V82" s="230"/>
      <c r="W82" s="230"/>
      <c r="X82" s="230"/>
      <c r="Y82" s="230"/>
      <c r="Z82" s="230"/>
      <c r="AA82" s="230"/>
      <c r="AB82" s="230"/>
      <c r="AC82" s="230"/>
    </row>
    <row r="83" spans="1:29">
      <c r="A83" s="230"/>
      <c r="B83" s="230"/>
      <c r="C83" s="230"/>
      <c r="D83" s="230"/>
      <c r="E83" s="230"/>
      <c r="F83" s="230"/>
      <c r="G83" s="230"/>
      <c r="H83" s="230"/>
      <c r="I83" s="230"/>
      <c r="J83" s="230"/>
      <c r="K83" s="230"/>
      <c r="L83" s="233"/>
      <c r="M83" s="233"/>
      <c r="N83" s="230"/>
      <c r="O83" s="230"/>
      <c r="P83" s="230"/>
      <c r="Q83" s="230"/>
      <c r="R83" s="230"/>
      <c r="S83" s="230"/>
      <c r="T83" s="230"/>
      <c r="U83" s="230"/>
      <c r="V83" s="230"/>
      <c r="W83" s="230"/>
      <c r="X83" s="230"/>
      <c r="Y83" s="230"/>
      <c r="Z83" s="230"/>
      <c r="AA83" s="230"/>
      <c r="AB83" s="230"/>
      <c r="AC83" s="230"/>
    </row>
    <row r="84" spans="1:29">
      <c r="A84" s="230"/>
      <c r="B84" s="230"/>
      <c r="C84" s="230"/>
      <c r="D84" s="230"/>
      <c r="E84" s="230"/>
      <c r="F84" s="230"/>
      <c r="G84" s="230"/>
      <c r="H84" s="230"/>
      <c r="I84" s="230"/>
      <c r="J84" s="230"/>
      <c r="K84" s="230"/>
      <c r="L84" s="233"/>
      <c r="M84" s="233"/>
      <c r="N84" s="230"/>
      <c r="O84" s="230"/>
      <c r="P84" s="230"/>
      <c r="Q84" s="230"/>
      <c r="R84" s="230"/>
      <c r="S84" s="230"/>
      <c r="T84" s="230"/>
      <c r="U84" s="230"/>
      <c r="V84" s="230"/>
      <c r="W84" s="230"/>
      <c r="X84" s="230"/>
      <c r="Y84" s="230"/>
      <c r="Z84" s="230"/>
      <c r="AA84" s="230"/>
      <c r="AB84" s="230"/>
      <c r="AC84" s="230"/>
    </row>
    <row r="85" spans="1:29">
      <c r="A85" s="230"/>
      <c r="B85" s="230"/>
      <c r="C85" s="230"/>
      <c r="D85" s="230"/>
      <c r="E85" s="230"/>
      <c r="F85" s="230"/>
      <c r="G85" s="230"/>
      <c r="H85" s="230"/>
      <c r="I85" s="230"/>
      <c r="J85" s="230"/>
      <c r="K85" s="230"/>
      <c r="L85" s="233"/>
      <c r="M85" s="233"/>
      <c r="N85" s="230"/>
      <c r="O85" s="230"/>
      <c r="P85" s="230"/>
      <c r="Q85" s="230"/>
      <c r="R85" s="230"/>
      <c r="S85" s="230"/>
      <c r="T85" s="230"/>
      <c r="U85" s="230"/>
      <c r="V85" s="230"/>
      <c r="W85" s="230"/>
      <c r="X85" s="230"/>
      <c r="Y85" s="230"/>
      <c r="Z85" s="230"/>
      <c r="AA85" s="230"/>
      <c r="AB85" s="230"/>
      <c r="AC85" s="230"/>
    </row>
    <row r="86" spans="1:29">
      <c r="A86" s="230"/>
      <c r="B86" s="230"/>
      <c r="C86" s="230"/>
      <c r="D86" s="230"/>
      <c r="E86" s="230"/>
      <c r="F86" s="230"/>
      <c r="G86" s="230"/>
      <c r="H86" s="230"/>
      <c r="I86" s="230"/>
      <c r="J86" s="230"/>
      <c r="K86" s="230"/>
      <c r="L86" s="233"/>
      <c r="M86" s="233"/>
      <c r="N86" s="230"/>
      <c r="O86" s="230"/>
      <c r="P86" s="230"/>
      <c r="Q86" s="230"/>
      <c r="R86" s="230"/>
      <c r="S86" s="230"/>
      <c r="T86" s="230"/>
      <c r="U86" s="230"/>
      <c r="V86" s="230"/>
      <c r="W86" s="230"/>
      <c r="X86" s="230"/>
      <c r="Y86" s="230"/>
      <c r="Z86" s="230"/>
      <c r="AA86" s="230"/>
      <c r="AB86" s="230"/>
      <c r="AC86" s="230"/>
    </row>
    <row r="87" spans="1:29">
      <c r="A87" s="230"/>
      <c r="B87" s="230"/>
      <c r="C87" s="230"/>
      <c r="D87" s="230"/>
      <c r="E87" s="230"/>
      <c r="F87" s="230"/>
      <c r="G87" s="230"/>
      <c r="H87" s="230"/>
      <c r="I87" s="230"/>
      <c r="J87" s="230"/>
      <c r="K87" s="230"/>
      <c r="L87" s="233"/>
      <c r="M87" s="233"/>
      <c r="N87" s="230"/>
      <c r="O87" s="230"/>
      <c r="P87" s="230"/>
      <c r="Q87" s="230"/>
      <c r="R87" s="230"/>
      <c r="S87" s="230"/>
      <c r="T87" s="230"/>
      <c r="U87" s="230"/>
      <c r="V87" s="230"/>
      <c r="W87" s="230"/>
      <c r="X87" s="230"/>
      <c r="Y87" s="230"/>
      <c r="Z87" s="230"/>
      <c r="AA87" s="230"/>
      <c r="AB87" s="230"/>
      <c r="AC87" s="230"/>
    </row>
    <row r="88" spans="1:29">
      <c r="A88" s="230"/>
      <c r="B88" s="230"/>
      <c r="C88" s="230"/>
      <c r="D88" s="230"/>
      <c r="E88" s="230"/>
      <c r="F88" s="230"/>
      <c r="G88" s="230"/>
      <c r="H88" s="230"/>
      <c r="I88" s="230"/>
      <c r="J88" s="230"/>
      <c r="K88" s="230"/>
      <c r="L88" s="233"/>
      <c r="M88" s="233"/>
      <c r="N88" s="230"/>
      <c r="O88" s="230"/>
      <c r="P88" s="230"/>
      <c r="Q88" s="230"/>
      <c r="R88" s="230"/>
      <c r="S88" s="230"/>
      <c r="T88" s="230"/>
      <c r="U88" s="230"/>
      <c r="V88" s="230"/>
      <c r="W88" s="230"/>
      <c r="X88" s="230"/>
      <c r="Y88" s="230"/>
      <c r="Z88" s="230"/>
      <c r="AA88" s="230"/>
      <c r="AB88" s="230"/>
      <c r="AC88" s="230"/>
    </row>
    <row r="89" spans="1:29">
      <c r="A89" s="230"/>
      <c r="B89" s="230"/>
      <c r="C89" s="230"/>
      <c r="D89" s="230"/>
      <c r="E89" s="230"/>
      <c r="F89" s="230"/>
      <c r="G89" s="230"/>
      <c r="H89" s="230"/>
      <c r="I89" s="230"/>
      <c r="J89" s="230"/>
      <c r="K89" s="230"/>
      <c r="L89" s="233"/>
      <c r="M89" s="233"/>
      <c r="N89" s="230"/>
      <c r="O89" s="230"/>
      <c r="P89" s="230"/>
      <c r="Q89" s="230"/>
      <c r="R89" s="230"/>
      <c r="S89" s="230"/>
      <c r="T89" s="230"/>
      <c r="U89" s="230"/>
      <c r="V89" s="230"/>
      <c r="W89" s="230"/>
      <c r="X89" s="230"/>
      <c r="Y89" s="230"/>
      <c r="Z89" s="230"/>
      <c r="AA89" s="230"/>
      <c r="AB89" s="230"/>
      <c r="AC89" s="230"/>
    </row>
    <row r="90" spans="1:29">
      <c r="A90" s="230"/>
      <c r="B90" s="230"/>
      <c r="C90" s="230"/>
      <c r="D90" s="230"/>
      <c r="E90" s="230"/>
      <c r="F90" s="230"/>
      <c r="G90" s="230"/>
      <c r="H90" s="230"/>
      <c r="I90" s="230"/>
      <c r="J90" s="230"/>
      <c r="K90" s="230"/>
      <c r="L90" s="233"/>
      <c r="M90" s="233"/>
      <c r="N90" s="230"/>
      <c r="O90" s="230"/>
      <c r="P90" s="230"/>
      <c r="Q90" s="230"/>
      <c r="R90" s="230"/>
      <c r="S90" s="230"/>
      <c r="T90" s="230"/>
      <c r="U90" s="230"/>
      <c r="V90" s="230"/>
      <c r="W90" s="230"/>
      <c r="X90" s="230"/>
      <c r="Y90" s="230"/>
      <c r="Z90" s="230"/>
      <c r="AA90" s="230"/>
      <c r="AB90" s="230"/>
      <c r="AC90" s="230"/>
    </row>
    <row r="91" spans="1:29">
      <c r="A91" s="230"/>
      <c r="B91" s="230"/>
      <c r="C91" s="230"/>
      <c r="D91" s="230"/>
      <c r="E91" s="230"/>
      <c r="F91" s="230"/>
      <c r="G91" s="230"/>
      <c r="H91" s="230"/>
      <c r="I91" s="230"/>
      <c r="J91" s="230"/>
      <c r="K91" s="230"/>
      <c r="L91" s="233"/>
      <c r="M91" s="233"/>
      <c r="N91" s="230"/>
      <c r="O91" s="230"/>
      <c r="P91" s="230"/>
      <c r="Q91" s="230"/>
      <c r="R91" s="230"/>
      <c r="S91" s="230"/>
      <c r="T91" s="230"/>
      <c r="U91" s="230"/>
      <c r="V91" s="230"/>
      <c r="W91" s="230"/>
      <c r="X91" s="230"/>
      <c r="Y91" s="230"/>
      <c r="Z91" s="230"/>
      <c r="AA91" s="230"/>
      <c r="AB91" s="230"/>
      <c r="AC91" s="230"/>
    </row>
    <row r="92" spans="1:29">
      <c r="A92" s="230"/>
      <c r="B92" s="230"/>
      <c r="C92" s="230"/>
      <c r="D92" s="230"/>
      <c r="E92" s="230"/>
      <c r="F92" s="230"/>
      <c r="G92" s="230"/>
      <c r="H92" s="230"/>
      <c r="I92" s="230"/>
      <c r="J92" s="230"/>
      <c r="K92" s="230"/>
      <c r="L92" s="233"/>
      <c r="M92" s="233"/>
      <c r="N92" s="230"/>
      <c r="O92" s="230"/>
      <c r="P92" s="230"/>
      <c r="Q92" s="230"/>
      <c r="R92" s="230"/>
      <c r="S92" s="230"/>
      <c r="T92" s="230"/>
      <c r="U92" s="230"/>
      <c r="V92" s="230"/>
      <c r="W92" s="230"/>
      <c r="X92" s="230"/>
      <c r="Y92" s="230"/>
      <c r="Z92" s="230"/>
      <c r="AA92" s="230"/>
      <c r="AB92" s="230"/>
      <c r="AC92" s="230"/>
    </row>
    <row r="93" spans="1:29">
      <c r="A93" s="230"/>
      <c r="B93" s="230"/>
      <c r="C93" s="230"/>
      <c r="D93" s="230"/>
      <c r="E93" s="230"/>
      <c r="F93" s="230"/>
      <c r="G93" s="230"/>
      <c r="H93" s="230"/>
      <c r="I93" s="230"/>
      <c r="J93" s="230"/>
      <c r="K93" s="230"/>
      <c r="L93" s="233"/>
      <c r="M93" s="233"/>
      <c r="N93" s="230"/>
      <c r="O93" s="230"/>
      <c r="P93" s="230"/>
      <c r="Q93" s="230"/>
      <c r="R93" s="230"/>
      <c r="S93" s="230"/>
      <c r="T93" s="230"/>
      <c r="U93" s="230"/>
      <c r="V93" s="230"/>
      <c r="W93" s="230"/>
      <c r="X93" s="230"/>
      <c r="Y93" s="230"/>
      <c r="Z93" s="230"/>
      <c r="AA93" s="230"/>
      <c r="AB93" s="230"/>
      <c r="AC93" s="230"/>
    </row>
    <row r="94" spans="1:29">
      <c r="A94" s="230"/>
      <c r="B94" s="230"/>
      <c r="C94" s="230"/>
      <c r="D94" s="230"/>
      <c r="E94" s="230"/>
      <c r="F94" s="230"/>
      <c r="G94" s="230"/>
      <c r="H94" s="230"/>
      <c r="I94" s="230"/>
      <c r="J94" s="230"/>
      <c r="K94" s="230"/>
      <c r="L94" s="233"/>
      <c r="M94" s="233"/>
      <c r="N94" s="230"/>
      <c r="O94" s="230"/>
      <c r="P94" s="230"/>
      <c r="Q94" s="230"/>
      <c r="R94" s="230"/>
      <c r="S94" s="230"/>
      <c r="T94" s="230"/>
      <c r="U94" s="230"/>
      <c r="V94" s="230"/>
      <c r="W94" s="230"/>
      <c r="X94" s="230"/>
      <c r="Y94" s="230"/>
      <c r="Z94" s="230"/>
      <c r="AA94" s="230"/>
      <c r="AB94" s="230"/>
      <c r="AC94" s="230"/>
    </row>
    <row r="95" spans="1:29">
      <c r="A95" s="230"/>
      <c r="B95" s="230"/>
      <c r="C95" s="230"/>
      <c r="D95" s="230"/>
      <c r="E95" s="230"/>
      <c r="F95" s="230"/>
      <c r="G95" s="230"/>
      <c r="H95" s="230"/>
      <c r="I95" s="230"/>
      <c r="J95" s="230"/>
      <c r="K95" s="230"/>
      <c r="L95" s="233"/>
      <c r="M95" s="233"/>
      <c r="N95" s="230"/>
      <c r="O95" s="230"/>
      <c r="P95" s="230"/>
      <c r="Q95" s="230"/>
      <c r="R95" s="230"/>
      <c r="S95" s="230"/>
      <c r="T95" s="230"/>
      <c r="U95" s="230"/>
      <c r="V95" s="230"/>
      <c r="W95" s="230"/>
      <c r="X95" s="230"/>
      <c r="Y95" s="230"/>
      <c r="Z95" s="230"/>
      <c r="AA95" s="230"/>
      <c r="AB95" s="230"/>
      <c r="AC95" s="230"/>
    </row>
    <row r="96" spans="1:29">
      <c r="A96" s="230"/>
      <c r="B96" s="230"/>
      <c r="C96" s="230"/>
      <c r="D96" s="230"/>
      <c r="E96" s="230"/>
      <c r="F96" s="230"/>
      <c r="G96" s="230"/>
      <c r="H96" s="230"/>
      <c r="I96" s="230"/>
      <c r="J96" s="230"/>
      <c r="K96" s="230"/>
      <c r="L96" s="233"/>
      <c r="M96" s="233"/>
      <c r="N96" s="230"/>
      <c r="O96" s="230"/>
      <c r="P96" s="230"/>
      <c r="Q96" s="230"/>
      <c r="R96" s="230"/>
      <c r="S96" s="230"/>
      <c r="T96" s="230"/>
      <c r="U96" s="230"/>
      <c r="V96" s="230"/>
      <c r="W96" s="230"/>
      <c r="X96" s="230"/>
      <c r="Y96" s="230"/>
      <c r="Z96" s="230"/>
      <c r="AA96" s="230"/>
      <c r="AB96" s="230"/>
      <c r="AC96" s="230"/>
    </row>
    <row r="97" spans="1:29">
      <c r="A97" s="230"/>
      <c r="B97" s="230"/>
      <c r="C97" s="230"/>
      <c r="D97" s="230"/>
      <c r="E97" s="230"/>
      <c r="F97" s="230"/>
      <c r="G97" s="230"/>
      <c r="H97" s="230"/>
      <c r="I97" s="230"/>
      <c r="J97" s="230"/>
      <c r="K97" s="230"/>
      <c r="L97" s="233"/>
      <c r="M97" s="233"/>
      <c r="N97" s="230"/>
      <c r="O97" s="230"/>
      <c r="P97" s="230"/>
      <c r="Q97" s="230"/>
      <c r="R97" s="230"/>
      <c r="S97" s="230"/>
      <c r="T97" s="230"/>
      <c r="U97" s="230"/>
      <c r="V97" s="230"/>
      <c r="W97" s="230"/>
      <c r="X97" s="230"/>
      <c r="Y97" s="230"/>
      <c r="Z97" s="230"/>
      <c r="AA97" s="230"/>
      <c r="AB97" s="230"/>
      <c r="AC97" s="230"/>
    </row>
    <row r="98" spans="1:29">
      <c r="A98" s="230"/>
      <c r="B98" s="230"/>
      <c r="C98" s="230"/>
      <c r="D98" s="230"/>
      <c r="E98" s="230"/>
      <c r="F98" s="230"/>
      <c r="G98" s="230"/>
      <c r="H98" s="230"/>
      <c r="I98" s="230"/>
      <c r="J98" s="230"/>
      <c r="K98" s="230"/>
      <c r="L98" s="233"/>
      <c r="M98" s="233"/>
      <c r="N98" s="230"/>
      <c r="O98" s="230"/>
      <c r="P98" s="230"/>
      <c r="Q98" s="230"/>
      <c r="R98" s="230"/>
      <c r="S98" s="230"/>
      <c r="T98" s="230"/>
      <c r="U98" s="230"/>
      <c r="V98" s="230"/>
      <c r="W98" s="230"/>
      <c r="X98" s="230"/>
      <c r="Y98" s="230"/>
      <c r="Z98" s="230"/>
      <c r="AA98" s="230"/>
      <c r="AB98" s="230"/>
      <c r="AC98" s="230"/>
    </row>
    <row r="99" spans="1:29">
      <c r="A99" s="230"/>
      <c r="B99" s="230"/>
      <c r="C99" s="230"/>
      <c r="D99" s="230"/>
      <c r="E99" s="230"/>
      <c r="F99" s="230"/>
      <c r="G99" s="230"/>
      <c r="H99" s="230"/>
      <c r="I99" s="230"/>
      <c r="J99" s="230"/>
      <c r="K99" s="230"/>
      <c r="L99" s="233"/>
      <c r="M99" s="233"/>
      <c r="N99" s="230"/>
      <c r="O99" s="230"/>
      <c r="P99" s="230"/>
      <c r="Q99" s="230"/>
      <c r="R99" s="230"/>
      <c r="S99" s="230"/>
      <c r="T99" s="230"/>
      <c r="U99" s="230"/>
      <c r="V99" s="230"/>
      <c r="W99" s="230"/>
      <c r="X99" s="230"/>
      <c r="Y99" s="230"/>
      <c r="Z99" s="230"/>
      <c r="AA99" s="230"/>
      <c r="AB99" s="230"/>
      <c r="AC99" s="230"/>
    </row>
    <row r="100" spans="1:29">
      <c r="A100" s="230"/>
      <c r="B100" s="230"/>
      <c r="C100" s="230"/>
      <c r="D100" s="230"/>
      <c r="E100" s="230"/>
      <c r="F100" s="230"/>
      <c r="G100" s="230"/>
      <c r="H100" s="230"/>
      <c r="I100" s="230"/>
      <c r="J100" s="230"/>
      <c r="K100" s="230"/>
      <c r="L100" s="233"/>
      <c r="M100" s="233"/>
      <c r="N100" s="230"/>
      <c r="O100" s="230"/>
      <c r="P100" s="230"/>
      <c r="Q100" s="230"/>
      <c r="R100" s="230"/>
      <c r="S100" s="230"/>
      <c r="T100" s="230"/>
      <c r="U100" s="230"/>
      <c r="V100" s="230"/>
      <c r="W100" s="230"/>
      <c r="X100" s="230"/>
      <c r="Y100" s="230"/>
      <c r="Z100" s="230"/>
      <c r="AA100" s="230"/>
      <c r="AB100" s="230"/>
      <c r="AC100" s="230"/>
    </row>
    <row r="101" spans="1:29">
      <c r="A101" s="230"/>
      <c r="B101" s="230"/>
      <c r="C101" s="230"/>
      <c r="D101" s="230"/>
      <c r="E101" s="230"/>
      <c r="F101" s="230"/>
      <c r="G101" s="230"/>
      <c r="H101" s="230"/>
      <c r="I101" s="230"/>
      <c r="J101" s="230"/>
      <c r="K101" s="230"/>
      <c r="L101" s="233"/>
      <c r="M101" s="233"/>
      <c r="N101" s="230"/>
      <c r="O101" s="230"/>
      <c r="P101" s="230"/>
      <c r="Q101" s="230"/>
      <c r="R101" s="230"/>
      <c r="S101" s="230"/>
      <c r="T101" s="230"/>
      <c r="U101" s="230"/>
      <c r="V101" s="230"/>
      <c r="W101" s="230"/>
      <c r="X101" s="230"/>
      <c r="Y101" s="230"/>
      <c r="Z101" s="230"/>
      <c r="AA101" s="230"/>
      <c r="AB101" s="230"/>
      <c r="AC101" s="230"/>
    </row>
    <row r="102" spans="1:29">
      <c r="A102" s="230"/>
      <c r="B102" s="230"/>
      <c r="C102" s="230"/>
      <c r="D102" s="230"/>
      <c r="E102" s="230"/>
      <c r="F102" s="230"/>
      <c r="G102" s="230"/>
      <c r="H102" s="230"/>
      <c r="I102" s="230"/>
      <c r="J102" s="230"/>
      <c r="K102" s="230"/>
      <c r="L102" s="233"/>
      <c r="M102" s="233"/>
      <c r="N102" s="230"/>
      <c r="O102" s="230"/>
      <c r="P102" s="230"/>
      <c r="Q102" s="230"/>
      <c r="R102" s="230"/>
      <c r="S102" s="230"/>
      <c r="T102" s="230"/>
      <c r="U102" s="230"/>
      <c r="V102" s="230"/>
      <c r="W102" s="230"/>
      <c r="X102" s="230"/>
      <c r="Y102" s="230"/>
      <c r="Z102" s="230"/>
      <c r="AA102" s="230"/>
      <c r="AB102" s="230"/>
      <c r="AC102" s="230"/>
    </row>
    <row r="103" spans="1:29">
      <c r="A103" s="230"/>
      <c r="B103" s="230"/>
      <c r="C103" s="230"/>
      <c r="D103" s="230"/>
      <c r="E103" s="230"/>
      <c r="F103" s="230"/>
      <c r="G103" s="230"/>
      <c r="H103" s="230"/>
      <c r="I103" s="230"/>
      <c r="J103" s="230"/>
      <c r="K103" s="230"/>
      <c r="L103" s="233"/>
      <c r="M103" s="233"/>
      <c r="N103" s="230"/>
      <c r="O103" s="230"/>
      <c r="P103" s="230"/>
      <c r="Q103" s="230"/>
      <c r="R103" s="230"/>
      <c r="S103" s="230"/>
      <c r="T103" s="230"/>
      <c r="U103" s="230"/>
      <c r="V103" s="230"/>
      <c r="W103" s="230"/>
      <c r="X103" s="230"/>
      <c r="Y103" s="230"/>
      <c r="Z103" s="230"/>
      <c r="AA103" s="230"/>
      <c r="AB103" s="230"/>
      <c r="AC103" s="230"/>
    </row>
    <row r="104" spans="1:29">
      <c r="A104" s="230"/>
      <c r="B104" s="230"/>
      <c r="C104" s="230"/>
      <c r="D104" s="230"/>
      <c r="E104" s="230"/>
      <c r="F104" s="230"/>
      <c r="G104" s="230"/>
      <c r="H104" s="230"/>
      <c r="I104" s="230"/>
      <c r="J104" s="230"/>
      <c r="K104" s="230"/>
      <c r="L104" s="233"/>
      <c r="M104" s="233"/>
      <c r="N104" s="230"/>
      <c r="O104" s="230"/>
      <c r="P104" s="230"/>
      <c r="Q104" s="230"/>
      <c r="R104" s="230"/>
      <c r="S104" s="230"/>
      <c r="T104" s="230"/>
      <c r="U104" s="230"/>
      <c r="V104" s="230"/>
      <c r="W104" s="230"/>
      <c r="X104" s="230"/>
      <c r="Y104" s="230"/>
      <c r="Z104" s="230"/>
      <c r="AA104" s="230"/>
      <c r="AB104" s="230"/>
      <c r="AC104" s="230"/>
    </row>
    <row r="105" spans="1:29">
      <c r="A105" s="230"/>
      <c r="B105" s="230"/>
      <c r="C105" s="230"/>
      <c r="D105" s="230"/>
      <c r="E105" s="230"/>
      <c r="F105" s="230"/>
      <c r="G105" s="230"/>
      <c r="H105" s="230"/>
      <c r="I105" s="230"/>
      <c r="J105" s="230"/>
      <c r="K105" s="230"/>
      <c r="L105" s="233"/>
      <c r="M105" s="233"/>
      <c r="N105" s="230"/>
      <c r="O105" s="230"/>
      <c r="P105" s="230"/>
      <c r="Q105" s="230"/>
      <c r="R105" s="230"/>
      <c r="S105" s="230"/>
      <c r="T105" s="230"/>
      <c r="U105" s="230"/>
      <c r="V105" s="230"/>
      <c r="W105" s="230"/>
      <c r="X105" s="230"/>
      <c r="Y105" s="230"/>
      <c r="Z105" s="230"/>
      <c r="AA105" s="230"/>
      <c r="AB105" s="230"/>
      <c r="AC105" s="230"/>
    </row>
    <row r="106" spans="1:29">
      <c r="A106" s="230"/>
      <c r="B106" s="230"/>
      <c r="C106" s="230"/>
      <c r="D106" s="230"/>
      <c r="E106" s="230"/>
      <c r="F106" s="230"/>
      <c r="G106" s="230"/>
      <c r="H106" s="230"/>
      <c r="I106" s="230"/>
      <c r="J106" s="230"/>
      <c r="K106" s="230"/>
      <c r="L106" s="233"/>
      <c r="M106" s="233"/>
      <c r="N106" s="230"/>
      <c r="O106" s="230"/>
      <c r="P106" s="230"/>
      <c r="Q106" s="230"/>
      <c r="R106" s="230"/>
      <c r="S106" s="230"/>
      <c r="T106" s="230"/>
      <c r="U106" s="230"/>
      <c r="V106" s="230"/>
      <c r="W106" s="230"/>
      <c r="X106" s="230"/>
      <c r="Y106" s="230"/>
      <c r="Z106" s="230"/>
      <c r="AA106" s="230"/>
      <c r="AB106" s="230"/>
      <c r="AC106" s="230"/>
    </row>
    <row r="107" spans="1:29">
      <c r="A107" s="230"/>
      <c r="B107" s="230"/>
      <c r="C107" s="230"/>
      <c r="D107" s="230"/>
      <c r="E107" s="230"/>
      <c r="F107" s="230"/>
      <c r="G107" s="230"/>
      <c r="H107" s="230"/>
      <c r="I107" s="230"/>
      <c r="J107" s="230"/>
      <c r="K107" s="230"/>
      <c r="L107" s="233"/>
      <c r="M107" s="233"/>
      <c r="N107" s="230"/>
      <c r="O107" s="230"/>
      <c r="P107" s="230"/>
      <c r="Q107" s="230"/>
      <c r="R107" s="230"/>
      <c r="S107" s="230"/>
      <c r="T107" s="230"/>
      <c r="U107" s="230"/>
      <c r="V107" s="230"/>
      <c r="W107" s="230"/>
      <c r="X107" s="230"/>
      <c r="Y107" s="230"/>
      <c r="Z107" s="230"/>
      <c r="AA107" s="230"/>
      <c r="AB107" s="230"/>
      <c r="AC107" s="230"/>
    </row>
    <row r="108" spans="1:29">
      <c r="A108" s="230"/>
      <c r="B108" s="230"/>
      <c r="C108" s="230"/>
      <c r="D108" s="230"/>
      <c r="E108" s="230"/>
      <c r="F108" s="230"/>
      <c r="G108" s="230"/>
      <c r="H108" s="230"/>
      <c r="I108" s="230"/>
      <c r="J108" s="230"/>
      <c r="K108" s="230"/>
      <c r="L108" s="233"/>
      <c r="M108" s="233"/>
      <c r="N108" s="230"/>
      <c r="O108" s="230"/>
      <c r="P108" s="230"/>
      <c r="Q108" s="230"/>
      <c r="R108" s="230"/>
      <c r="S108" s="230"/>
      <c r="T108" s="230"/>
      <c r="U108" s="230"/>
      <c r="V108" s="230"/>
      <c r="W108" s="230"/>
      <c r="X108" s="230"/>
      <c r="Y108" s="230"/>
      <c r="Z108" s="230"/>
      <c r="AA108" s="230"/>
      <c r="AB108" s="230"/>
      <c r="AC108" s="230"/>
    </row>
    <row r="109" spans="1:29">
      <c r="A109" s="230"/>
      <c r="B109" s="230"/>
      <c r="C109" s="230"/>
      <c r="D109" s="230"/>
      <c r="E109" s="230"/>
      <c r="F109" s="230"/>
      <c r="G109" s="230"/>
      <c r="H109" s="230"/>
      <c r="I109" s="230"/>
      <c r="J109" s="230"/>
      <c r="K109" s="230"/>
      <c r="L109" s="233"/>
      <c r="M109" s="233"/>
      <c r="N109" s="230"/>
      <c r="O109" s="230"/>
      <c r="P109" s="230"/>
      <c r="Q109" s="230"/>
      <c r="R109" s="230"/>
      <c r="S109" s="230"/>
      <c r="T109" s="230"/>
      <c r="U109" s="230"/>
      <c r="V109" s="230"/>
      <c r="W109" s="230"/>
      <c r="X109" s="230"/>
      <c r="Y109" s="230"/>
      <c r="Z109" s="230"/>
      <c r="AA109" s="230"/>
      <c r="AB109" s="230"/>
      <c r="AC109" s="230"/>
    </row>
    <row r="110" spans="1:29">
      <c r="A110" s="230"/>
      <c r="B110" s="230"/>
      <c r="C110" s="230"/>
      <c r="D110" s="230"/>
      <c r="E110" s="230"/>
      <c r="F110" s="230"/>
      <c r="G110" s="230"/>
      <c r="H110" s="230"/>
      <c r="I110" s="230"/>
      <c r="J110" s="230"/>
      <c r="K110" s="230"/>
      <c r="L110" s="233"/>
      <c r="M110" s="233"/>
      <c r="N110" s="230"/>
      <c r="O110" s="230"/>
      <c r="P110" s="230"/>
      <c r="Q110" s="230"/>
      <c r="R110" s="230"/>
      <c r="S110" s="230"/>
      <c r="T110" s="230"/>
      <c r="U110" s="230"/>
      <c r="V110" s="230"/>
      <c r="W110" s="230"/>
      <c r="X110" s="230"/>
      <c r="Y110" s="230"/>
      <c r="Z110" s="230"/>
      <c r="AA110" s="230"/>
      <c r="AB110" s="230"/>
      <c r="AC110" s="230"/>
    </row>
    <row r="111" spans="1:29">
      <c r="A111" s="230"/>
      <c r="B111" s="230"/>
      <c r="C111" s="230"/>
      <c r="D111" s="230"/>
      <c r="E111" s="230"/>
      <c r="F111" s="230"/>
      <c r="G111" s="230"/>
      <c r="H111" s="230"/>
      <c r="I111" s="230"/>
      <c r="J111" s="230"/>
      <c r="K111" s="230"/>
      <c r="L111" s="233"/>
      <c r="M111" s="233"/>
      <c r="N111" s="230"/>
      <c r="O111" s="230"/>
      <c r="P111" s="230"/>
      <c r="Q111" s="230"/>
      <c r="R111" s="230"/>
      <c r="S111" s="230"/>
      <c r="T111" s="230"/>
      <c r="U111" s="230"/>
      <c r="V111" s="230"/>
      <c r="W111" s="230"/>
      <c r="X111" s="230"/>
      <c r="Y111" s="230"/>
      <c r="Z111" s="230"/>
      <c r="AA111" s="230"/>
      <c r="AB111" s="230"/>
      <c r="AC111" s="230"/>
    </row>
    <row r="112" spans="1:29">
      <c r="A112" s="230"/>
      <c r="B112" s="230"/>
      <c r="C112" s="230"/>
      <c r="D112" s="230"/>
      <c r="E112" s="230"/>
      <c r="F112" s="230"/>
      <c r="G112" s="230"/>
      <c r="H112" s="230"/>
      <c r="I112" s="230"/>
      <c r="J112" s="230"/>
      <c r="K112" s="230"/>
      <c r="L112" s="233"/>
      <c r="M112" s="233"/>
      <c r="N112" s="230"/>
      <c r="O112" s="230"/>
      <c r="P112" s="230"/>
      <c r="Q112" s="230"/>
      <c r="R112" s="230"/>
      <c r="S112" s="230"/>
      <c r="T112" s="230"/>
      <c r="U112" s="230"/>
      <c r="V112" s="230"/>
      <c r="W112" s="230"/>
      <c r="X112" s="230"/>
      <c r="Y112" s="230"/>
      <c r="Z112" s="230"/>
      <c r="AA112" s="230"/>
      <c r="AB112" s="230"/>
      <c r="AC112" s="230"/>
    </row>
    <row r="113" spans="1:29">
      <c r="A113" s="230"/>
      <c r="B113" s="230"/>
      <c r="C113" s="230"/>
      <c r="D113" s="230"/>
      <c r="E113" s="230"/>
      <c r="F113" s="230"/>
      <c r="G113" s="230"/>
      <c r="H113" s="230"/>
      <c r="I113" s="230"/>
      <c r="J113" s="230"/>
      <c r="K113" s="230"/>
      <c r="L113" s="233"/>
      <c r="M113" s="233"/>
      <c r="N113" s="230"/>
      <c r="O113" s="230"/>
      <c r="P113" s="230"/>
      <c r="Q113" s="230"/>
      <c r="R113" s="230"/>
      <c r="S113" s="230"/>
      <c r="T113" s="230"/>
      <c r="U113" s="230"/>
      <c r="V113" s="230"/>
      <c r="W113" s="230"/>
      <c r="X113" s="230"/>
      <c r="Y113" s="230"/>
      <c r="Z113" s="230"/>
      <c r="AA113" s="230"/>
      <c r="AB113" s="230"/>
      <c r="AC113" s="230"/>
    </row>
    <row r="114" spans="1:29">
      <c r="A114" s="230"/>
      <c r="B114" s="230"/>
      <c r="C114" s="230"/>
      <c r="D114" s="230"/>
      <c r="E114" s="230"/>
      <c r="F114" s="230"/>
      <c r="G114" s="230"/>
      <c r="H114" s="230"/>
      <c r="I114" s="230"/>
      <c r="J114" s="230"/>
      <c r="K114" s="230"/>
      <c r="L114" s="233"/>
      <c r="M114" s="233"/>
      <c r="N114" s="230"/>
      <c r="O114" s="230"/>
      <c r="P114" s="230"/>
      <c r="Q114" s="230"/>
      <c r="R114" s="230"/>
      <c r="S114" s="230"/>
      <c r="T114" s="230"/>
      <c r="U114" s="230"/>
      <c r="V114" s="230"/>
      <c r="W114" s="230"/>
      <c r="X114" s="230"/>
      <c r="Y114" s="230"/>
      <c r="Z114" s="230"/>
      <c r="AA114" s="230"/>
      <c r="AB114" s="230"/>
      <c r="AC114" s="230"/>
    </row>
    <row r="115" spans="1:29">
      <c r="A115" s="230"/>
      <c r="B115" s="230"/>
      <c r="C115" s="230"/>
      <c r="D115" s="230"/>
      <c r="E115" s="230"/>
      <c r="F115" s="230"/>
      <c r="G115" s="230"/>
      <c r="H115" s="230"/>
      <c r="I115" s="230"/>
      <c r="J115" s="230"/>
      <c r="K115" s="230"/>
      <c r="L115" s="233"/>
      <c r="M115" s="233"/>
      <c r="N115" s="230"/>
      <c r="O115" s="230"/>
      <c r="P115" s="230"/>
      <c r="Q115" s="230"/>
      <c r="R115" s="230"/>
      <c r="S115" s="230"/>
      <c r="T115" s="230"/>
      <c r="U115" s="230"/>
      <c r="V115" s="230"/>
      <c r="W115" s="230"/>
      <c r="X115" s="230"/>
      <c r="Y115" s="230"/>
      <c r="Z115" s="230"/>
      <c r="AA115" s="230"/>
      <c r="AB115" s="230"/>
      <c r="AC115" s="230"/>
    </row>
    <row r="116" spans="1:29">
      <c r="A116" s="230"/>
      <c r="B116" s="230"/>
      <c r="C116" s="230"/>
      <c r="D116" s="230"/>
      <c r="E116" s="230"/>
      <c r="F116" s="230"/>
      <c r="G116" s="230"/>
      <c r="H116" s="230"/>
      <c r="I116" s="230"/>
      <c r="J116" s="230"/>
      <c r="K116" s="230"/>
      <c r="L116" s="233"/>
      <c r="M116" s="233"/>
      <c r="N116" s="230"/>
      <c r="O116" s="230"/>
      <c r="P116" s="230"/>
      <c r="Q116" s="230"/>
      <c r="R116" s="230"/>
      <c r="S116" s="230"/>
      <c r="T116" s="230"/>
      <c r="U116" s="230"/>
      <c r="V116" s="230"/>
      <c r="W116" s="230"/>
      <c r="X116" s="230"/>
      <c r="Y116" s="230"/>
      <c r="Z116" s="230"/>
      <c r="AA116" s="230"/>
      <c r="AB116" s="230"/>
      <c r="AC116" s="230"/>
    </row>
    <row r="117" spans="1:29">
      <c r="A117" s="230"/>
      <c r="B117" s="230"/>
      <c r="C117" s="230"/>
      <c r="D117" s="230"/>
      <c r="E117" s="230"/>
      <c r="F117" s="230"/>
      <c r="G117" s="230"/>
      <c r="H117" s="230"/>
      <c r="I117" s="230"/>
      <c r="J117" s="230"/>
      <c r="K117" s="230"/>
      <c r="L117" s="233"/>
      <c r="M117" s="233"/>
      <c r="N117" s="230"/>
      <c r="O117" s="230"/>
      <c r="P117" s="230"/>
      <c r="Q117" s="230"/>
      <c r="R117" s="230"/>
      <c r="S117" s="230"/>
      <c r="T117" s="230"/>
      <c r="U117" s="230"/>
      <c r="V117" s="230"/>
      <c r="W117" s="230"/>
      <c r="X117" s="230"/>
      <c r="Y117" s="230"/>
      <c r="Z117" s="230"/>
      <c r="AA117" s="230"/>
      <c r="AB117" s="230"/>
      <c r="AC117" s="230"/>
    </row>
    <row r="118" spans="1:29">
      <c r="A118" s="230"/>
      <c r="B118" s="230"/>
      <c r="C118" s="230"/>
      <c r="D118" s="230"/>
      <c r="E118" s="230"/>
      <c r="F118" s="230"/>
      <c r="G118" s="230"/>
      <c r="H118" s="230"/>
      <c r="I118" s="230"/>
      <c r="J118" s="230"/>
      <c r="K118" s="230"/>
      <c r="L118" s="233"/>
      <c r="M118" s="233"/>
      <c r="N118" s="230"/>
      <c r="O118" s="230"/>
      <c r="P118" s="230"/>
      <c r="Q118" s="230"/>
      <c r="R118" s="230"/>
      <c r="S118" s="230"/>
      <c r="T118" s="230"/>
      <c r="U118" s="230"/>
      <c r="V118" s="230"/>
      <c r="W118" s="230"/>
      <c r="X118" s="230"/>
      <c r="Y118" s="230"/>
      <c r="Z118" s="230"/>
      <c r="AA118" s="230"/>
      <c r="AB118" s="230"/>
      <c r="AC118" s="230"/>
    </row>
    <row r="119" spans="1:29">
      <c r="A119" s="230"/>
      <c r="B119" s="230"/>
      <c r="C119" s="230"/>
      <c r="D119" s="230"/>
      <c r="E119" s="230"/>
      <c r="F119" s="230"/>
      <c r="G119" s="230"/>
      <c r="H119" s="230"/>
      <c r="I119" s="230"/>
      <c r="J119" s="230"/>
      <c r="K119" s="230"/>
      <c r="L119" s="233"/>
      <c r="M119" s="233"/>
      <c r="N119" s="230"/>
      <c r="O119" s="230"/>
      <c r="P119" s="230"/>
      <c r="Q119" s="230"/>
      <c r="R119" s="230"/>
      <c r="S119" s="230"/>
      <c r="T119" s="230"/>
      <c r="U119" s="230"/>
      <c r="V119" s="230"/>
      <c r="W119" s="230"/>
      <c r="X119" s="230"/>
      <c r="Y119" s="230"/>
      <c r="Z119" s="230"/>
      <c r="AA119" s="230"/>
      <c r="AB119" s="230"/>
      <c r="AC119" s="230"/>
    </row>
    <row r="120" spans="1:29">
      <c r="A120" s="230"/>
      <c r="B120" s="230"/>
      <c r="C120" s="230"/>
      <c r="D120" s="230"/>
      <c r="E120" s="230"/>
      <c r="F120" s="230"/>
      <c r="G120" s="230"/>
      <c r="H120" s="230"/>
      <c r="I120" s="230"/>
      <c r="J120" s="230"/>
      <c r="K120" s="230"/>
      <c r="L120" s="233"/>
      <c r="M120" s="233"/>
      <c r="N120" s="230"/>
      <c r="O120" s="230"/>
      <c r="P120" s="230"/>
      <c r="Q120" s="230"/>
      <c r="R120" s="230"/>
      <c r="S120" s="230"/>
      <c r="T120" s="230"/>
      <c r="U120" s="230"/>
      <c r="V120" s="230"/>
      <c r="W120" s="230"/>
      <c r="X120" s="230"/>
      <c r="Y120" s="230"/>
      <c r="Z120" s="230"/>
      <c r="AA120" s="230"/>
      <c r="AB120" s="230"/>
      <c r="AC120" s="230"/>
    </row>
    <row r="121" spans="1:29">
      <c r="A121" s="230"/>
      <c r="B121" s="230"/>
      <c r="C121" s="230"/>
      <c r="D121" s="230"/>
      <c r="E121" s="230"/>
      <c r="F121" s="230"/>
      <c r="G121" s="230"/>
      <c r="H121" s="230"/>
      <c r="I121" s="230"/>
      <c r="J121" s="230"/>
      <c r="K121" s="230"/>
      <c r="L121" s="233"/>
      <c r="M121" s="233"/>
      <c r="N121" s="230"/>
      <c r="O121" s="230"/>
      <c r="P121" s="230"/>
      <c r="Q121" s="230"/>
      <c r="R121" s="230"/>
      <c r="S121" s="230"/>
      <c r="T121" s="230"/>
      <c r="U121" s="230"/>
      <c r="V121" s="230"/>
      <c r="W121" s="230"/>
      <c r="X121" s="230"/>
      <c r="Y121" s="230"/>
      <c r="Z121" s="230"/>
      <c r="AA121" s="230"/>
      <c r="AB121" s="230"/>
      <c r="AC121" s="230"/>
    </row>
    <row r="122" spans="1:29">
      <c r="A122" s="230"/>
      <c r="B122" s="230"/>
      <c r="C122" s="230"/>
      <c r="D122" s="230"/>
      <c r="E122" s="230"/>
      <c r="F122" s="230"/>
      <c r="G122" s="230"/>
      <c r="H122" s="230"/>
      <c r="I122" s="230"/>
      <c r="J122" s="230"/>
      <c r="K122" s="230"/>
      <c r="L122" s="233"/>
      <c r="M122" s="233"/>
      <c r="N122" s="230"/>
      <c r="O122" s="230"/>
      <c r="P122" s="230"/>
      <c r="Q122" s="230"/>
      <c r="R122" s="230"/>
      <c r="S122" s="230"/>
      <c r="T122" s="230"/>
      <c r="U122" s="230"/>
      <c r="V122" s="230"/>
      <c r="W122" s="230"/>
      <c r="X122" s="230"/>
      <c r="Y122" s="230"/>
      <c r="Z122" s="230"/>
      <c r="AA122" s="230"/>
      <c r="AB122" s="230"/>
      <c r="AC122" s="230"/>
    </row>
    <row r="123" spans="1:29">
      <c r="A123" s="230"/>
      <c r="B123" s="230"/>
      <c r="C123" s="230"/>
      <c r="D123" s="230"/>
      <c r="E123" s="230"/>
      <c r="F123" s="230"/>
      <c r="G123" s="230"/>
      <c r="H123" s="230"/>
      <c r="I123" s="230"/>
      <c r="J123" s="230"/>
      <c r="K123" s="230"/>
      <c r="L123" s="233"/>
      <c r="M123" s="233"/>
      <c r="N123" s="230"/>
      <c r="O123" s="230"/>
      <c r="P123" s="230"/>
      <c r="Q123" s="230"/>
      <c r="R123" s="230"/>
      <c r="S123" s="230"/>
      <c r="T123" s="230"/>
      <c r="U123" s="230"/>
      <c r="V123" s="230"/>
      <c r="W123" s="230"/>
      <c r="X123" s="230"/>
      <c r="Y123" s="230"/>
      <c r="Z123" s="230"/>
      <c r="AA123" s="230"/>
      <c r="AB123" s="230"/>
      <c r="AC123" s="230"/>
    </row>
    <row r="124" spans="1:29">
      <c r="A124" s="230"/>
      <c r="B124" s="230"/>
      <c r="C124" s="230"/>
      <c r="D124" s="230"/>
      <c r="E124" s="230"/>
      <c r="F124" s="230"/>
      <c r="G124" s="230"/>
      <c r="H124" s="230"/>
      <c r="I124" s="230"/>
      <c r="J124" s="230"/>
      <c r="K124" s="230"/>
      <c r="L124" s="233"/>
      <c r="M124" s="233"/>
      <c r="N124" s="230"/>
      <c r="O124" s="230"/>
      <c r="P124" s="230"/>
      <c r="Q124" s="230"/>
      <c r="R124" s="230"/>
      <c r="S124" s="230"/>
      <c r="T124" s="230"/>
      <c r="U124" s="230"/>
      <c r="V124" s="230"/>
      <c r="W124" s="230"/>
      <c r="X124" s="230"/>
      <c r="Y124" s="230"/>
      <c r="Z124" s="230"/>
      <c r="AA124" s="230"/>
      <c r="AB124" s="230"/>
      <c r="AC124" s="230"/>
    </row>
    <row r="125" spans="1:29">
      <c r="A125" s="230"/>
      <c r="B125" s="230"/>
      <c r="C125" s="230"/>
      <c r="D125" s="230"/>
      <c r="E125" s="230"/>
      <c r="F125" s="230"/>
      <c r="G125" s="230"/>
      <c r="H125" s="230"/>
      <c r="I125" s="230"/>
      <c r="J125" s="230"/>
      <c r="K125" s="230"/>
      <c r="L125" s="233"/>
      <c r="M125" s="233"/>
      <c r="N125" s="230"/>
      <c r="O125" s="230"/>
      <c r="P125" s="230"/>
      <c r="Q125" s="230"/>
      <c r="R125" s="230"/>
      <c r="S125" s="230"/>
      <c r="T125" s="230"/>
      <c r="U125" s="230"/>
      <c r="V125" s="230"/>
      <c r="W125" s="230"/>
      <c r="X125" s="230"/>
      <c r="Y125" s="230"/>
      <c r="Z125" s="230"/>
      <c r="AA125" s="230"/>
      <c r="AB125" s="230"/>
      <c r="AC125" s="230"/>
    </row>
    <row r="126" spans="1:29">
      <c r="A126" s="230"/>
      <c r="B126" s="230"/>
      <c r="C126" s="230"/>
      <c r="D126" s="230"/>
      <c r="E126" s="230"/>
      <c r="F126" s="230"/>
      <c r="G126" s="230"/>
      <c r="H126" s="230"/>
      <c r="I126" s="230"/>
      <c r="J126" s="230"/>
      <c r="K126" s="230"/>
      <c r="L126" s="233"/>
      <c r="M126" s="233"/>
      <c r="N126" s="230"/>
      <c r="O126" s="230"/>
      <c r="P126" s="230"/>
      <c r="Q126" s="230"/>
      <c r="R126" s="230"/>
      <c r="S126" s="230"/>
      <c r="T126" s="230"/>
      <c r="U126" s="230"/>
      <c r="V126" s="230"/>
      <c r="W126" s="230"/>
      <c r="X126" s="230"/>
      <c r="Y126" s="230"/>
      <c r="Z126" s="230"/>
      <c r="AA126" s="230"/>
      <c r="AB126" s="230"/>
      <c r="AC126" s="230"/>
    </row>
    <row r="127" spans="1:29">
      <c r="A127" s="230"/>
      <c r="B127" s="230"/>
      <c r="C127" s="230"/>
      <c r="D127" s="230"/>
      <c r="E127" s="230"/>
      <c r="F127" s="230"/>
      <c r="G127" s="230"/>
      <c r="H127" s="230"/>
      <c r="I127" s="230"/>
      <c r="J127" s="230"/>
      <c r="K127" s="230"/>
      <c r="L127" s="233"/>
      <c r="M127" s="233"/>
      <c r="N127" s="230"/>
      <c r="O127" s="230"/>
      <c r="P127" s="230"/>
      <c r="Q127" s="230"/>
      <c r="R127" s="230"/>
      <c r="S127" s="230"/>
      <c r="T127" s="230"/>
      <c r="U127" s="230"/>
      <c r="V127" s="230"/>
      <c r="W127" s="230"/>
      <c r="X127" s="230"/>
      <c r="Y127" s="230"/>
      <c r="Z127" s="230"/>
      <c r="AA127" s="230"/>
      <c r="AB127" s="230"/>
      <c r="AC127" s="230"/>
    </row>
    <row r="128" spans="1:29">
      <c r="A128" s="230"/>
      <c r="B128" s="230"/>
      <c r="C128" s="230"/>
      <c r="D128" s="230"/>
      <c r="E128" s="230"/>
      <c r="F128" s="230"/>
      <c r="G128" s="230"/>
      <c r="H128" s="230"/>
      <c r="I128" s="230"/>
      <c r="J128" s="230"/>
      <c r="K128" s="230"/>
      <c r="L128" s="233"/>
      <c r="M128" s="233"/>
      <c r="N128" s="230"/>
      <c r="O128" s="230"/>
      <c r="P128" s="230"/>
      <c r="Q128" s="230"/>
      <c r="R128" s="230"/>
      <c r="S128" s="230"/>
      <c r="T128" s="230"/>
      <c r="U128" s="230"/>
      <c r="V128" s="230"/>
      <c r="W128" s="230"/>
      <c r="X128" s="230"/>
      <c r="Y128" s="230"/>
      <c r="Z128" s="230"/>
      <c r="AA128" s="230"/>
      <c r="AB128" s="230"/>
      <c r="AC128" s="230"/>
    </row>
    <row r="129" spans="1:29">
      <c r="A129" s="230"/>
      <c r="B129" s="230"/>
      <c r="C129" s="230"/>
      <c r="D129" s="230"/>
      <c r="E129" s="230"/>
      <c r="F129" s="230"/>
      <c r="G129" s="230"/>
      <c r="H129" s="230"/>
      <c r="I129" s="230"/>
      <c r="J129" s="230"/>
      <c r="K129" s="230"/>
      <c r="L129" s="233"/>
      <c r="M129" s="233"/>
      <c r="N129" s="230"/>
      <c r="O129" s="230"/>
      <c r="P129" s="230"/>
      <c r="Q129" s="230"/>
      <c r="R129" s="230"/>
      <c r="S129" s="230"/>
      <c r="T129" s="230"/>
      <c r="U129" s="230"/>
      <c r="V129" s="230"/>
      <c r="W129" s="230"/>
      <c r="X129" s="230"/>
      <c r="Y129" s="230"/>
      <c r="Z129" s="230"/>
      <c r="AA129" s="230"/>
      <c r="AB129" s="230"/>
      <c r="AC129" s="230"/>
    </row>
    <row r="130" spans="1:29">
      <c r="A130" s="230"/>
      <c r="B130" s="230"/>
      <c r="C130" s="230"/>
      <c r="D130" s="230"/>
      <c r="E130" s="230"/>
      <c r="F130" s="230"/>
      <c r="G130" s="230"/>
      <c r="H130" s="230"/>
      <c r="I130" s="230"/>
      <c r="J130" s="230"/>
      <c r="K130" s="230"/>
      <c r="L130" s="233"/>
      <c r="M130" s="233"/>
      <c r="N130" s="230"/>
      <c r="O130" s="230"/>
      <c r="P130" s="230"/>
      <c r="Q130" s="230"/>
      <c r="R130" s="230"/>
      <c r="S130" s="230"/>
      <c r="T130" s="230"/>
      <c r="U130" s="230"/>
      <c r="V130" s="230"/>
      <c r="W130" s="230"/>
      <c r="X130" s="230"/>
      <c r="Y130" s="230"/>
      <c r="Z130" s="230"/>
      <c r="AA130" s="230"/>
      <c r="AB130" s="230"/>
      <c r="AC130" s="230"/>
    </row>
    <row r="131" spans="1:29">
      <c r="A131" s="230"/>
      <c r="B131" s="230"/>
      <c r="C131" s="230"/>
      <c r="D131" s="230"/>
      <c r="E131" s="230"/>
      <c r="F131" s="230"/>
      <c r="G131" s="230"/>
      <c r="H131" s="230"/>
      <c r="I131" s="230"/>
      <c r="J131" s="230"/>
      <c r="K131" s="230"/>
      <c r="L131" s="233"/>
      <c r="M131" s="233"/>
      <c r="N131" s="230"/>
      <c r="O131" s="230"/>
      <c r="P131" s="230"/>
      <c r="Q131" s="230"/>
      <c r="R131" s="230"/>
      <c r="S131" s="230"/>
      <c r="T131" s="230"/>
      <c r="U131" s="230"/>
      <c r="V131" s="230"/>
      <c r="W131" s="230"/>
      <c r="X131" s="230"/>
      <c r="Y131" s="230"/>
      <c r="Z131" s="230"/>
      <c r="AA131" s="230"/>
      <c r="AB131" s="230"/>
      <c r="AC131" s="230"/>
    </row>
    <row r="132" spans="1:29">
      <c r="A132" s="230"/>
      <c r="B132" s="230"/>
      <c r="C132" s="230"/>
      <c r="D132" s="230"/>
      <c r="E132" s="230"/>
      <c r="F132" s="230"/>
      <c r="G132" s="230"/>
      <c r="H132" s="230"/>
      <c r="I132" s="230"/>
      <c r="J132" s="230"/>
      <c r="K132" s="230"/>
      <c r="L132" s="233"/>
      <c r="M132" s="233"/>
      <c r="N132" s="230"/>
      <c r="O132" s="230"/>
      <c r="P132" s="230"/>
      <c r="Q132" s="230"/>
      <c r="R132" s="230"/>
      <c r="S132" s="230"/>
      <c r="T132" s="230"/>
      <c r="U132" s="230"/>
      <c r="V132" s="230"/>
      <c r="W132" s="230"/>
      <c r="X132" s="230"/>
      <c r="Y132" s="230"/>
      <c r="Z132" s="230"/>
      <c r="AA132" s="230"/>
      <c r="AB132" s="230"/>
      <c r="AC132" s="230"/>
    </row>
    <row r="133" spans="1:29">
      <c r="A133" s="230"/>
      <c r="B133" s="230"/>
      <c r="C133" s="230"/>
      <c r="D133" s="230"/>
      <c r="E133" s="230"/>
      <c r="F133" s="230"/>
      <c r="G133" s="230"/>
      <c r="H133" s="230"/>
      <c r="I133" s="230"/>
      <c r="J133" s="230"/>
      <c r="K133" s="230"/>
      <c r="L133" s="233"/>
      <c r="M133" s="233"/>
      <c r="N133" s="230"/>
      <c r="O133" s="230"/>
      <c r="P133" s="230"/>
      <c r="Q133" s="230"/>
      <c r="R133" s="230"/>
      <c r="S133" s="230"/>
      <c r="T133" s="230"/>
      <c r="U133" s="230"/>
      <c r="V133" s="230"/>
      <c r="W133" s="230"/>
      <c r="X133" s="230"/>
      <c r="Y133" s="230"/>
      <c r="Z133" s="230"/>
      <c r="AA133" s="230"/>
      <c r="AB133" s="230"/>
      <c r="AC133" s="230"/>
    </row>
    <row r="134" spans="1:29">
      <c r="A134" s="230"/>
      <c r="B134" s="230"/>
      <c r="C134" s="230"/>
      <c r="D134" s="230"/>
      <c r="E134" s="230"/>
      <c r="F134" s="230"/>
      <c r="G134" s="230"/>
      <c r="H134" s="230"/>
      <c r="I134" s="230"/>
      <c r="J134" s="230"/>
      <c r="K134" s="230"/>
      <c r="L134" s="233"/>
      <c r="M134" s="233"/>
      <c r="N134" s="230"/>
      <c r="O134" s="230"/>
      <c r="P134" s="230"/>
      <c r="Q134" s="230"/>
      <c r="R134" s="230"/>
      <c r="S134" s="230"/>
      <c r="T134" s="230"/>
      <c r="U134" s="230"/>
      <c r="V134" s="230"/>
      <c r="W134" s="230"/>
      <c r="X134" s="230"/>
      <c r="Y134" s="230"/>
      <c r="Z134" s="230"/>
      <c r="AA134" s="230"/>
      <c r="AB134" s="230"/>
      <c r="AC134" s="230"/>
    </row>
    <row r="135" spans="1:29">
      <c r="A135" s="230"/>
      <c r="B135" s="230"/>
      <c r="C135" s="230"/>
      <c r="D135" s="230"/>
      <c r="E135" s="230"/>
      <c r="F135" s="230"/>
      <c r="G135" s="230"/>
      <c r="H135" s="230"/>
      <c r="I135" s="230"/>
      <c r="J135" s="230"/>
      <c r="K135" s="230"/>
      <c r="L135" s="233"/>
      <c r="M135" s="233"/>
      <c r="N135" s="230"/>
      <c r="O135" s="230"/>
      <c r="P135" s="230"/>
      <c r="Q135" s="230"/>
      <c r="R135" s="230"/>
      <c r="S135" s="230"/>
      <c r="T135" s="230"/>
      <c r="U135" s="230"/>
      <c r="V135" s="230"/>
      <c r="W135" s="230"/>
      <c r="X135" s="230"/>
      <c r="Y135" s="230"/>
      <c r="Z135" s="230"/>
      <c r="AA135" s="230"/>
      <c r="AB135" s="230"/>
      <c r="AC135" s="230"/>
    </row>
    <row r="136" spans="1:29">
      <c r="A136" s="230"/>
      <c r="B136" s="230"/>
      <c r="C136" s="230"/>
      <c r="D136" s="230"/>
      <c r="E136" s="230"/>
      <c r="F136" s="230"/>
      <c r="G136" s="230"/>
      <c r="H136" s="230"/>
      <c r="I136" s="230"/>
      <c r="J136" s="230"/>
      <c r="K136" s="230"/>
      <c r="L136" s="233"/>
      <c r="M136" s="233"/>
      <c r="N136" s="230"/>
      <c r="O136" s="230"/>
      <c r="P136" s="230"/>
      <c r="Q136" s="230"/>
      <c r="R136" s="230"/>
      <c r="S136" s="230"/>
      <c r="T136" s="230"/>
      <c r="U136" s="230"/>
      <c r="V136" s="230"/>
      <c r="W136" s="230"/>
      <c r="X136" s="230"/>
      <c r="Y136" s="230"/>
      <c r="Z136" s="230"/>
      <c r="AA136" s="230"/>
      <c r="AB136" s="230"/>
      <c r="AC136" s="230"/>
    </row>
    <row r="137" spans="1:29">
      <c r="A137" s="230"/>
      <c r="B137" s="230"/>
      <c r="C137" s="230"/>
      <c r="D137" s="230"/>
      <c r="E137" s="230"/>
      <c r="F137" s="230"/>
      <c r="G137" s="230"/>
      <c r="H137" s="230"/>
      <c r="I137" s="230"/>
      <c r="J137" s="230"/>
      <c r="K137" s="230"/>
      <c r="L137" s="233"/>
      <c r="M137" s="233"/>
      <c r="N137" s="230"/>
      <c r="O137" s="230"/>
      <c r="P137" s="230"/>
      <c r="Q137" s="230"/>
      <c r="R137" s="230"/>
      <c r="S137" s="230"/>
      <c r="T137" s="230"/>
      <c r="U137" s="230"/>
      <c r="V137" s="230"/>
      <c r="W137" s="230"/>
      <c r="X137" s="230"/>
      <c r="Y137" s="230"/>
      <c r="Z137" s="230"/>
      <c r="AA137" s="230"/>
      <c r="AB137" s="230"/>
      <c r="AC137" s="230"/>
    </row>
    <row r="138" spans="1:29">
      <c r="A138" s="230"/>
      <c r="B138" s="230"/>
      <c r="C138" s="230"/>
      <c r="D138" s="230"/>
      <c r="E138" s="230"/>
      <c r="F138" s="230"/>
      <c r="G138" s="230"/>
      <c r="H138" s="230"/>
      <c r="I138" s="230"/>
      <c r="J138" s="230"/>
      <c r="K138" s="230"/>
      <c r="L138" s="233"/>
      <c r="M138" s="233"/>
      <c r="N138" s="230"/>
      <c r="O138" s="230"/>
      <c r="P138" s="230"/>
      <c r="Q138" s="230"/>
      <c r="R138" s="230"/>
      <c r="S138" s="230"/>
      <c r="T138" s="230"/>
      <c r="U138" s="230"/>
      <c r="V138" s="230"/>
      <c r="W138" s="230"/>
      <c r="X138" s="230"/>
      <c r="Y138" s="230"/>
      <c r="Z138" s="230"/>
      <c r="AA138" s="230"/>
      <c r="AB138" s="230"/>
      <c r="AC138" s="230"/>
    </row>
    <row r="139" spans="1:29">
      <c r="A139" s="230"/>
      <c r="B139" s="230"/>
      <c r="C139" s="230"/>
      <c r="D139" s="230"/>
      <c r="E139" s="230"/>
      <c r="F139" s="230"/>
      <c r="G139" s="230"/>
      <c r="H139" s="230"/>
      <c r="I139" s="230"/>
      <c r="J139" s="230"/>
      <c r="K139" s="230"/>
      <c r="L139" s="233"/>
      <c r="M139" s="233"/>
      <c r="N139" s="230"/>
      <c r="O139" s="230"/>
      <c r="P139" s="230"/>
      <c r="Q139" s="230"/>
      <c r="R139" s="230"/>
      <c r="S139" s="230"/>
      <c r="T139" s="230"/>
      <c r="U139" s="230"/>
      <c r="V139" s="230"/>
      <c r="W139" s="230"/>
      <c r="X139" s="230"/>
      <c r="Y139" s="230"/>
      <c r="Z139" s="230"/>
      <c r="AA139" s="230"/>
      <c r="AB139" s="230"/>
      <c r="AC139" s="230"/>
    </row>
    <row r="140" spans="1:29">
      <c r="A140" s="230"/>
      <c r="B140" s="230"/>
      <c r="C140" s="230"/>
      <c r="D140" s="230"/>
      <c r="E140" s="230"/>
      <c r="F140" s="230"/>
      <c r="G140" s="230"/>
      <c r="H140" s="230"/>
      <c r="I140" s="230"/>
      <c r="J140" s="230"/>
      <c r="K140" s="230"/>
      <c r="L140" s="233"/>
      <c r="M140" s="233"/>
      <c r="N140" s="230"/>
      <c r="O140" s="230"/>
      <c r="P140" s="230"/>
      <c r="Q140" s="230"/>
      <c r="R140" s="230"/>
      <c r="S140" s="230"/>
      <c r="T140" s="230"/>
      <c r="U140" s="230"/>
      <c r="V140" s="230"/>
      <c r="W140" s="230"/>
      <c r="X140" s="230"/>
      <c r="Y140" s="230"/>
      <c r="Z140" s="230"/>
      <c r="AA140" s="230"/>
      <c r="AB140" s="230"/>
      <c r="AC140" s="230"/>
    </row>
    <row r="141" spans="1:29">
      <c r="A141" s="230"/>
      <c r="B141" s="230"/>
      <c r="C141" s="230"/>
      <c r="D141" s="230"/>
      <c r="E141" s="230"/>
      <c r="F141" s="230"/>
      <c r="G141" s="230"/>
      <c r="H141" s="230"/>
      <c r="I141" s="230"/>
      <c r="J141" s="230"/>
      <c r="K141" s="230"/>
      <c r="L141" s="233"/>
      <c r="M141" s="233"/>
      <c r="N141" s="230"/>
      <c r="O141" s="230"/>
      <c r="P141" s="230"/>
      <c r="Q141" s="230"/>
      <c r="R141" s="230"/>
      <c r="S141" s="230"/>
      <c r="T141" s="230"/>
      <c r="U141" s="230"/>
      <c r="V141" s="230"/>
      <c r="W141" s="230"/>
      <c r="X141" s="230"/>
      <c r="Y141" s="230"/>
      <c r="Z141" s="230"/>
      <c r="AA141" s="230"/>
      <c r="AB141" s="230"/>
      <c r="AC141" s="230"/>
    </row>
    <row r="142" spans="1:29">
      <c r="A142" s="230"/>
      <c r="B142" s="230"/>
      <c r="C142" s="230"/>
      <c r="D142" s="230"/>
      <c r="E142" s="230"/>
      <c r="F142" s="230"/>
      <c r="G142" s="230"/>
      <c r="H142" s="230"/>
      <c r="I142" s="230"/>
      <c r="J142" s="230"/>
      <c r="K142" s="230"/>
      <c r="L142" s="233"/>
      <c r="M142" s="233"/>
      <c r="N142" s="230"/>
      <c r="O142" s="230"/>
      <c r="P142" s="230"/>
      <c r="Q142" s="230"/>
      <c r="R142" s="230"/>
      <c r="S142" s="230"/>
      <c r="T142" s="230"/>
      <c r="U142" s="230"/>
      <c r="V142" s="230"/>
      <c r="W142" s="230"/>
      <c r="X142" s="230"/>
      <c r="Y142" s="230"/>
      <c r="Z142" s="230"/>
      <c r="AA142" s="230"/>
      <c r="AB142" s="230"/>
      <c r="AC142" s="230"/>
    </row>
    <row r="143" spans="1:29">
      <c r="A143" s="230"/>
      <c r="B143" s="230"/>
      <c r="C143" s="230"/>
      <c r="D143" s="230"/>
      <c r="E143" s="230"/>
      <c r="F143" s="230"/>
      <c r="G143" s="230"/>
      <c r="H143" s="230"/>
      <c r="I143" s="230"/>
      <c r="J143" s="230"/>
      <c r="K143" s="230"/>
      <c r="L143" s="233"/>
      <c r="M143" s="233"/>
      <c r="N143" s="230"/>
      <c r="O143" s="230"/>
      <c r="P143" s="230"/>
      <c r="Q143" s="230"/>
      <c r="R143" s="230"/>
      <c r="S143" s="230"/>
      <c r="T143" s="230"/>
      <c r="U143" s="230"/>
      <c r="V143" s="230"/>
      <c r="W143" s="230"/>
      <c r="X143" s="230"/>
      <c r="Y143" s="230"/>
      <c r="Z143" s="230"/>
      <c r="AA143" s="230"/>
      <c r="AB143" s="230"/>
      <c r="AC143" s="230"/>
    </row>
    <row r="144" spans="1:29">
      <c r="A144" s="230"/>
      <c r="B144" s="230"/>
      <c r="C144" s="230"/>
      <c r="D144" s="230"/>
      <c r="E144" s="230"/>
      <c r="F144" s="230"/>
      <c r="G144" s="230"/>
      <c r="H144" s="230"/>
      <c r="I144" s="230"/>
      <c r="J144" s="230"/>
      <c r="K144" s="230"/>
      <c r="L144" s="233"/>
      <c r="M144" s="233"/>
      <c r="N144" s="230"/>
      <c r="O144" s="230"/>
      <c r="P144" s="230"/>
      <c r="Q144" s="230"/>
      <c r="R144" s="230"/>
      <c r="S144" s="230"/>
      <c r="T144" s="230"/>
      <c r="U144" s="230"/>
      <c r="V144" s="230"/>
      <c r="W144" s="230"/>
      <c r="X144" s="230"/>
      <c r="Y144" s="230"/>
      <c r="Z144" s="230"/>
      <c r="AA144" s="230"/>
      <c r="AB144" s="230"/>
      <c r="AC144" s="230"/>
    </row>
    <row r="145" spans="1:29">
      <c r="A145" s="230"/>
      <c r="B145" s="230"/>
      <c r="C145" s="230"/>
      <c r="D145" s="230"/>
      <c r="E145" s="230"/>
      <c r="F145" s="230"/>
      <c r="G145" s="230"/>
      <c r="H145" s="230"/>
      <c r="I145" s="230"/>
      <c r="J145" s="230"/>
      <c r="K145" s="230"/>
      <c r="L145" s="233"/>
      <c r="M145" s="233"/>
      <c r="N145" s="230"/>
      <c r="O145" s="230"/>
      <c r="P145" s="230"/>
      <c r="Q145" s="230"/>
      <c r="R145" s="230"/>
      <c r="S145" s="230"/>
      <c r="T145" s="230"/>
      <c r="U145" s="230"/>
      <c r="V145" s="230"/>
      <c r="W145" s="230"/>
      <c r="X145" s="230"/>
      <c r="Y145" s="230"/>
      <c r="Z145" s="230"/>
      <c r="AA145" s="230"/>
      <c r="AB145" s="230"/>
      <c r="AC145" s="230"/>
    </row>
    <row r="146" spans="1:29">
      <c r="A146" s="230"/>
      <c r="B146" s="230"/>
      <c r="C146" s="230"/>
      <c r="D146" s="230"/>
      <c r="E146" s="230"/>
      <c r="F146" s="230"/>
      <c r="G146" s="230"/>
      <c r="H146" s="230"/>
      <c r="I146" s="230"/>
      <c r="J146" s="230"/>
      <c r="K146" s="230"/>
      <c r="L146" s="233"/>
      <c r="M146" s="233"/>
      <c r="N146" s="230"/>
      <c r="O146" s="230"/>
      <c r="P146" s="230"/>
      <c r="Q146" s="230"/>
      <c r="R146" s="230"/>
      <c r="S146" s="230"/>
      <c r="T146" s="230"/>
      <c r="U146" s="230"/>
      <c r="V146" s="230"/>
      <c r="W146" s="230"/>
      <c r="X146" s="230"/>
      <c r="Y146" s="230"/>
      <c r="Z146" s="230"/>
      <c r="AA146" s="230"/>
      <c r="AB146" s="230"/>
      <c r="AC146" s="230"/>
    </row>
    <row r="147" spans="1:29">
      <c r="A147" s="230"/>
      <c r="B147" s="230"/>
      <c r="C147" s="230"/>
      <c r="D147" s="230"/>
      <c r="E147" s="230"/>
      <c r="F147" s="230"/>
      <c r="G147" s="230"/>
      <c r="H147" s="230"/>
      <c r="I147" s="230"/>
      <c r="J147" s="230"/>
      <c r="K147" s="230"/>
      <c r="L147" s="233"/>
      <c r="M147" s="233"/>
      <c r="N147" s="230"/>
      <c r="O147" s="230"/>
      <c r="P147" s="230"/>
      <c r="Q147" s="230"/>
      <c r="R147" s="230"/>
      <c r="S147" s="230"/>
      <c r="T147" s="230"/>
      <c r="U147" s="230"/>
      <c r="V147" s="230"/>
      <c r="W147" s="230"/>
      <c r="X147" s="230"/>
      <c r="Y147" s="230"/>
      <c r="Z147" s="230"/>
      <c r="AA147" s="230"/>
      <c r="AB147" s="230"/>
      <c r="AC147" s="230"/>
    </row>
    <row r="148" spans="1:29">
      <c r="A148" s="230"/>
      <c r="B148" s="230"/>
      <c r="C148" s="230"/>
      <c r="D148" s="230"/>
      <c r="E148" s="230"/>
      <c r="F148" s="230"/>
      <c r="G148" s="230"/>
      <c r="H148" s="230"/>
      <c r="I148" s="230"/>
      <c r="J148" s="230"/>
      <c r="K148" s="230"/>
      <c r="L148" s="233"/>
      <c r="M148" s="233"/>
      <c r="N148" s="230"/>
      <c r="O148" s="230"/>
      <c r="P148" s="230"/>
      <c r="Q148" s="230"/>
      <c r="R148" s="230"/>
      <c r="S148" s="230"/>
      <c r="T148" s="230"/>
      <c r="U148" s="230"/>
      <c r="V148" s="230"/>
      <c r="W148" s="230"/>
      <c r="X148" s="230"/>
      <c r="Y148" s="230"/>
      <c r="Z148" s="230"/>
      <c r="AA148" s="230"/>
      <c r="AB148" s="230"/>
      <c r="AC148" s="230"/>
    </row>
    <row r="149" spans="1:29">
      <c r="A149" s="230"/>
      <c r="B149" s="230"/>
      <c r="C149" s="230"/>
      <c r="D149" s="230"/>
      <c r="E149" s="230"/>
      <c r="F149" s="230"/>
      <c r="G149" s="230"/>
      <c r="H149" s="230"/>
      <c r="I149" s="230"/>
      <c r="J149" s="230"/>
      <c r="K149" s="230"/>
      <c r="L149" s="233"/>
      <c r="M149" s="233"/>
      <c r="N149" s="230"/>
      <c r="O149" s="230"/>
      <c r="P149" s="230"/>
      <c r="Q149" s="230"/>
      <c r="R149" s="230"/>
      <c r="S149" s="230"/>
      <c r="T149" s="230"/>
      <c r="U149" s="230"/>
      <c r="V149" s="230"/>
      <c r="W149" s="230"/>
      <c r="X149" s="230"/>
      <c r="Y149" s="230"/>
      <c r="Z149" s="230"/>
      <c r="AA149" s="230"/>
      <c r="AB149" s="230"/>
      <c r="AC149" s="230"/>
    </row>
    <row r="150" spans="1:29">
      <c r="A150" s="230"/>
      <c r="B150" s="230"/>
      <c r="C150" s="230"/>
      <c r="D150" s="230"/>
      <c r="E150" s="230"/>
      <c r="F150" s="230"/>
      <c r="G150" s="230"/>
      <c r="H150" s="230"/>
      <c r="I150" s="230"/>
      <c r="J150" s="230"/>
      <c r="K150" s="230"/>
      <c r="L150" s="233"/>
      <c r="M150" s="233"/>
      <c r="N150" s="230"/>
      <c r="O150" s="230"/>
      <c r="P150" s="230"/>
      <c r="Q150" s="230"/>
      <c r="R150" s="230"/>
      <c r="S150" s="230"/>
      <c r="T150" s="230"/>
      <c r="U150" s="230"/>
      <c r="V150" s="230"/>
      <c r="W150" s="230"/>
      <c r="X150" s="230"/>
      <c r="Y150" s="230"/>
      <c r="Z150" s="230"/>
      <c r="AA150" s="230"/>
      <c r="AB150" s="230"/>
      <c r="AC150" s="230"/>
    </row>
    <row r="151" spans="1:29">
      <c r="A151" s="230"/>
      <c r="B151" s="230"/>
      <c r="C151" s="230"/>
      <c r="D151" s="230"/>
      <c r="E151" s="230"/>
      <c r="F151" s="230"/>
      <c r="G151" s="230"/>
      <c r="H151" s="230"/>
      <c r="I151" s="230"/>
      <c r="J151" s="230"/>
      <c r="K151" s="230"/>
      <c r="L151" s="233"/>
      <c r="M151" s="233"/>
      <c r="N151" s="230"/>
      <c r="O151" s="230"/>
      <c r="P151" s="230"/>
      <c r="Q151" s="230"/>
      <c r="R151" s="230"/>
      <c r="S151" s="230"/>
      <c r="T151" s="230"/>
      <c r="U151" s="230"/>
      <c r="V151" s="230"/>
      <c r="W151" s="230"/>
      <c r="X151" s="230"/>
      <c r="Y151" s="230"/>
      <c r="Z151" s="230"/>
      <c r="AA151" s="230"/>
      <c r="AB151" s="230"/>
      <c r="AC151" s="230"/>
    </row>
    <row r="152" spans="1:29">
      <c r="A152" s="230"/>
      <c r="B152" s="230"/>
      <c r="C152" s="230"/>
      <c r="D152" s="230"/>
      <c r="E152" s="230"/>
      <c r="F152" s="230"/>
      <c r="G152" s="230"/>
      <c r="H152" s="230"/>
      <c r="I152" s="230"/>
      <c r="J152" s="230"/>
      <c r="K152" s="230"/>
      <c r="L152" s="233"/>
      <c r="M152" s="233"/>
      <c r="N152" s="230"/>
      <c r="O152" s="230"/>
      <c r="P152" s="230"/>
      <c r="Q152" s="230"/>
      <c r="R152" s="230"/>
      <c r="S152" s="230"/>
      <c r="T152" s="230"/>
      <c r="U152" s="230"/>
      <c r="V152" s="230"/>
      <c r="W152" s="230"/>
      <c r="X152" s="230"/>
      <c r="Y152" s="230"/>
      <c r="Z152" s="230"/>
      <c r="AA152" s="230"/>
      <c r="AB152" s="230"/>
      <c r="AC152" s="230"/>
    </row>
    <row r="153" spans="1:29">
      <c r="A153" s="230"/>
      <c r="B153" s="230"/>
      <c r="C153" s="230"/>
      <c r="D153" s="230"/>
      <c r="E153" s="230"/>
      <c r="F153" s="230"/>
      <c r="G153" s="230"/>
      <c r="H153" s="230"/>
      <c r="I153" s="230"/>
      <c r="J153" s="230"/>
      <c r="K153" s="230"/>
      <c r="L153" s="233"/>
      <c r="M153" s="233"/>
      <c r="N153" s="230"/>
      <c r="O153" s="230"/>
      <c r="P153" s="230"/>
      <c r="Q153" s="230"/>
      <c r="R153" s="230"/>
      <c r="S153" s="230"/>
      <c r="T153" s="230"/>
      <c r="U153" s="230"/>
      <c r="V153" s="230"/>
      <c r="W153" s="230"/>
      <c r="X153" s="230"/>
      <c r="Y153" s="230"/>
      <c r="Z153" s="230"/>
      <c r="AA153" s="230"/>
      <c r="AB153" s="230"/>
      <c r="AC153" s="230"/>
    </row>
    <row r="154" spans="1:29">
      <c r="A154" s="230"/>
      <c r="B154" s="230"/>
      <c r="C154" s="230"/>
      <c r="D154" s="230"/>
      <c r="E154" s="230"/>
      <c r="F154" s="230"/>
      <c r="G154" s="230"/>
      <c r="H154" s="230"/>
      <c r="I154" s="230"/>
      <c r="J154" s="230"/>
      <c r="K154" s="230"/>
      <c r="L154" s="233"/>
      <c r="M154" s="233"/>
      <c r="N154" s="230"/>
      <c r="O154" s="230"/>
      <c r="P154" s="230"/>
      <c r="Q154" s="230"/>
      <c r="R154" s="230"/>
      <c r="S154" s="230"/>
      <c r="T154" s="230"/>
      <c r="U154" s="230"/>
      <c r="V154" s="230"/>
      <c r="W154" s="230"/>
      <c r="X154" s="230"/>
      <c r="Y154" s="230"/>
      <c r="Z154" s="230"/>
      <c r="AA154" s="230"/>
      <c r="AB154" s="230"/>
      <c r="AC154" s="230"/>
    </row>
  </sheetData>
  <sheetProtection sheet="1" objects="1" scenarios="1"/>
  <mergeCells count="3">
    <mergeCell ref="A7:G7"/>
    <mergeCell ref="A8:G8"/>
    <mergeCell ref="A6:G6"/>
  </mergeCells>
  <dataValidations count="2">
    <dataValidation type="list" allowBlank="1" showInputMessage="1" showErrorMessage="1" sqref="F13:F50" xr:uid="{D471A48E-93FF-4901-89BD-DF01407EDBD9}">
      <formula1>Mass_Dropdown</formula1>
    </dataValidation>
    <dataValidation type="list" allowBlank="1" showInputMessage="1" showErrorMessage="1" sqref="D13:D50" xr:uid="{613FA753-068F-433D-AE82-A4D02057BF5B}">
      <formula1>INDIRECT(SUBSTITUTE($C13," ","_"))</formula1>
    </dataValidation>
  </dataValidations>
  <pageMargins left="0.25" right="0.25" top="0.25" bottom="0.25" header="0.5" footer="0.5"/>
  <pageSetup scale="84" orientation="portrait" r:id="rId1"/>
  <headerFooter alignWithMargins="0">
    <oddFooter>&amp;L&amp;"Arial,Italic"&amp;9EPA Climate Leaders Simplified GHG Emissions Calculator (Optional 3.0)&amp;R&amp;"Arial,Italic"&amp;9&amp;P of &amp;N</oddFooter>
  </headerFooter>
  <rowBreaks count="2" manualBreakCount="2">
    <brk id="51" max="16383" man="1"/>
    <brk id="54" max="16383" man="1"/>
  </rowBreaks>
  <colBreaks count="1" manualBreakCount="1">
    <brk id="7" max="1048575" man="1"/>
  </colBreaks>
  <drawing r:id="rId2"/>
  <legacyDrawing r:id="rId3"/>
  <controls>
    <mc:AlternateContent xmlns:mc="http://schemas.openxmlformats.org/markup-compatibility/2006">
      <mc:Choice Requires="x14">
        <control shapeId="76803" r:id="rId4" name="WasteHelp">
          <controlPr autoLine="0" autoPict="0" r:id="rId5">
            <anchor moveWithCells="1">
              <from>
                <xdr:col>3</xdr:col>
                <xdr:colOff>142875</xdr:colOff>
                <xdr:row>0</xdr:row>
                <xdr:rowOff>142875</xdr:rowOff>
              </from>
              <to>
                <xdr:col>4</xdr:col>
                <xdr:colOff>361950</xdr:colOff>
                <xdr:row>1</xdr:row>
                <xdr:rowOff>133350</xdr:rowOff>
              </to>
            </anchor>
          </controlPr>
        </control>
      </mc:Choice>
      <mc:Fallback>
        <control shapeId="76803" r:id="rId4" name="WasteHelp"/>
      </mc:Fallback>
    </mc:AlternateContent>
    <mc:AlternateContent xmlns:mc="http://schemas.openxmlformats.org/markup-compatibility/2006">
      <mc:Choice Requires="x14">
        <control shapeId="76802" r:id="rId6" name="CommandButton2">
          <controlPr autoLine="0" autoPict="0" r:id="rId7">
            <anchor>
              <from>
                <xdr:col>0</xdr:col>
                <xdr:colOff>1876425</xdr:colOff>
                <xdr:row>0</xdr:row>
                <xdr:rowOff>133350</xdr:rowOff>
              </from>
              <to>
                <xdr:col>1</xdr:col>
                <xdr:colOff>28575</xdr:colOff>
                <xdr:row>1</xdr:row>
                <xdr:rowOff>133350</xdr:rowOff>
              </to>
            </anchor>
          </controlPr>
        </control>
      </mc:Choice>
      <mc:Fallback>
        <control shapeId="76802" r:id="rId6" name="CommandButton2"/>
      </mc:Fallback>
    </mc:AlternateContent>
    <mc:AlternateContent xmlns:mc="http://schemas.openxmlformats.org/markup-compatibility/2006">
      <mc:Choice Requires="x14">
        <control shapeId="76801" r:id="rId8" name="CommandButton1">
          <controlPr autoLine="0" autoPict="0" r:id="rId9">
            <anchor>
              <from>
                <xdr:col>0</xdr:col>
                <xdr:colOff>714375</xdr:colOff>
                <xdr:row>0</xdr:row>
                <xdr:rowOff>142875</xdr:rowOff>
              </from>
              <to>
                <xdr:col>0</xdr:col>
                <xdr:colOff>1666875</xdr:colOff>
                <xdr:row>1</xdr:row>
                <xdr:rowOff>142875</xdr:rowOff>
              </to>
            </anchor>
          </controlPr>
        </control>
      </mc:Choice>
      <mc:Fallback>
        <control shapeId="76801" r:id="rId8" name="CommandButton1"/>
      </mc:Fallback>
    </mc:AlternateContent>
  </controls>
  <extLst>
    <ext xmlns:x14="http://schemas.microsoft.com/office/spreadsheetml/2009/9/main" uri="{CCE6A557-97BC-4b89-ADB6-D9C93CAAB3DF}">
      <x14:dataValidations xmlns:xm="http://schemas.microsoft.com/office/excel/2006/main" count="4">
        <x14:dataValidation type="list" allowBlank="1" showInputMessage="1" showErrorMessage="1" xr:uid="{4544FBE9-37B0-484F-AE2F-3CC28DB8786F}">
          <x14:formula1>
            <xm:f>DropDown!$V$2:$V$61</xm:f>
          </x14:formula1>
          <xm:sqref>C12</xm:sqref>
        </x14:dataValidation>
        <x14:dataValidation type="list" allowBlank="1" showInputMessage="1" showErrorMessage="1" xr:uid="{1149F205-CD8A-4102-AC11-537ACE94F744}">
          <x14:formula1>
            <xm:f>DropDown!$W$2:$W$7</xm:f>
          </x14:formula1>
          <xm:sqref>D12</xm:sqref>
        </x14:dataValidation>
        <x14:dataValidation type="list" allowBlank="1" showInputMessage="1" showErrorMessage="1" xr:uid="{B1F768F1-EE1F-4F1B-8055-C72C5F2D5EB3}">
          <x14:formula1>
            <xm:f>'Emission Factors'!$A$406:$A$410</xm:f>
          </x14:formula1>
          <xm:sqref>F12</xm:sqref>
        </x14:dataValidation>
        <x14:dataValidation type="list" allowBlank="1" showInputMessage="1" showErrorMessage="1" xr:uid="{305B6C09-4551-49DC-967F-0223BB4E2D5E}">
          <x14:formula1>
            <xm:f>DropDown!$Z$1:$CG$1</xm:f>
          </x14:formula1>
          <xm:sqref>C13:C50</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AD199"/>
  <sheetViews>
    <sheetView zoomScaleNormal="100" workbookViewId="0">
      <pane ySplit="4" topLeftCell="A5" activePane="bottomLeft" state="frozen"/>
      <selection pane="bottomLeft"/>
    </sheetView>
  </sheetViews>
  <sheetFormatPr defaultRowHeight="12.75"/>
  <cols>
    <col min="1" max="1" width="8.7109375" customWidth="1"/>
    <col min="2" max="2" width="33.5703125" customWidth="1"/>
    <col min="3" max="3" width="14.7109375" customWidth="1"/>
    <col min="4" max="6" width="12.5703125" customWidth="1"/>
    <col min="7" max="7" width="9.7109375"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1090</v>
      </c>
      <c r="B3" s="10"/>
      <c r="C3" s="10"/>
      <c r="D3" s="10"/>
      <c r="E3" s="10"/>
      <c r="F3" s="10"/>
      <c r="G3" s="1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13" t="s">
        <v>346</v>
      </c>
      <c r="B5" s="10"/>
      <c r="C5" s="10"/>
      <c r="D5" s="10"/>
      <c r="E5" s="10"/>
      <c r="F5" s="10"/>
      <c r="G5" s="10"/>
      <c r="H5" s="230"/>
      <c r="I5" s="230"/>
      <c r="J5" s="230"/>
      <c r="K5" s="230"/>
      <c r="L5" s="230"/>
      <c r="M5" s="230"/>
      <c r="N5" s="230"/>
      <c r="O5" s="230"/>
      <c r="P5" s="230"/>
      <c r="Q5" s="230"/>
      <c r="R5" s="230"/>
      <c r="S5" s="230"/>
      <c r="T5" s="230"/>
      <c r="U5" s="230"/>
      <c r="V5" s="230"/>
      <c r="W5" s="230"/>
      <c r="X5" s="230"/>
      <c r="Y5" s="230"/>
      <c r="Z5" s="230"/>
      <c r="AA5" s="230"/>
      <c r="AB5" s="230"/>
      <c r="AC5" s="230"/>
      <c r="AD5" s="230"/>
    </row>
    <row r="6" spans="1:30" ht="46.5" customHeight="1">
      <c r="A6" s="1207" t="s">
        <v>787</v>
      </c>
      <c r="B6" s="1207"/>
      <c r="C6" s="1207"/>
      <c r="D6" s="1207"/>
      <c r="E6" s="1207"/>
      <c r="F6" s="1207"/>
      <c r="G6" s="10"/>
      <c r="H6" s="230"/>
      <c r="I6" s="230"/>
      <c r="J6" s="230"/>
      <c r="K6" s="230"/>
      <c r="L6" s="230"/>
      <c r="M6" s="230"/>
      <c r="N6" s="230"/>
      <c r="O6" s="230"/>
      <c r="P6" s="230"/>
      <c r="Q6" s="230"/>
      <c r="R6" s="230"/>
      <c r="S6" s="230"/>
      <c r="T6" s="230"/>
      <c r="U6" s="230"/>
      <c r="V6" s="230"/>
      <c r="W6" s="230"/>
      <c r="X6" s="230"/>
      <c r="Y6" s="230"/>
      <c r="Z6" s="230"/>
      <c r="AA6" s="230"/>
      <c r="AB6" s="230"/>
      <c r="AC6" s="230"/>
      <c r="AD6" s="230"/>
    </row>
    <row r="7" spans="1:30">
      <c r="A7" s="283"/>
      <c r="B7" s="230"/>
      <c r="C7" s="230"/>
      <c r="D7" s="230"/>
      <c r="E7" s="23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row>
    <row r="8" spans="1:30" ht="13.5" thickBot="1">
      <c r="A8" s="229" t="s">
        <v>266</v>
      </c>
      <c r="B8" s="230"/>
      <c r="C8" s="230"/>
      <c r="D8" s="230"/>
      <c r="E8" s="23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row>
    <row r="9" spans="1:30" ht="53.25" thickBot="1">
      <c r="A9" s="612" t="s">
        <v>708</v>
      </c>
      <c r="B9" s="613" t="s">
        <v>710</v>
      </c>
      <c r="C9" s="385" t="s">
        <v>709</v>
      </c>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row>
    <row r="10" spans="1:30">
      <c r="A10" s="641" t="s">
        <v>265</v>
      </c>
      <c r="B10" s="642" t="s">
        <v>264</v>
      </c>
      <c r="C10" s="646">
        <v>5000</v>
      </c>
      <c r="D10" s="230"/>
      <c r="E10" s="23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row>
    <row r="11" spans="1:30">
      <c r="A11" s="537"/>
      <c r="B11" s="538"/>
      <c r="C11" s="569"/>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row>
    <row r="12" spans="1:30">
      <c r="A12" s="539"/>
      <c r="B12" s="1114"/>
      <c r="C12" s="570"/>
      <c r="D12" s="230"/>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539"/>
      <c r="B13" s="531"/>
      <c r="C13" s="570"/>
      <c r="D13" s="230"/>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c r="A14" s="539"/>
      <c r="B14" s="531"/>
      <c r="C14" s="570"/>
      <c r="D14" s="230"/>
      <c r="E14" s="23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539"/>
      <c r="B15" s="531"/>
      <c r="C15" s="570"/>
      <c r="D15" s="230"/>
      <c r="E15" s="23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539"/>
      <c r="B16" s="531"/>
      <c r="C16" s="570"/>
      <c r="D16" s="230"/>
      <c r="E16" s="230"/>
      <c r="F16" s="230"/>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539"/>
      <c r="B17" s="531"/>
      <c r="C17" s="570"/>
      <c r="D17" s="230"/>
      <c r="E17" s="230"/>
      <c r="F17" s="230"/>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539"/>
      <c r="B18" s="531"/>
      <c r="C18" s="570"/>
      <c r="D18" s="230"/>
      <c r="E18" s="230"/>
      <c r="F18" s="230"/>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539"/>
      <c r="B19" s="531"/>
      <c r="C19" s="570"/>
      <c r="D19" s="230"/>
      <c r="E19" s="23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ht="13.5" thickBot="1">
      <c r="A20" s="540"/>
      <c r="B20" s="541"/>
      <c r="C20" s="571"/>
      <c r="D20" s="230"/>
      <c r="E20" s="23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230"/>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361" t="s">
        <v>1111</v>
      </c>
      <c r="B22" s="341"/>
      <c r="C22" s="341"/>
      <c r="D22" s="230"/>
      <c r="E22" s="23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ht="13.5" thickBot="1">
      <c r="A23" s="230"/>
      <c r="B23" s="230"/>
      <c r="C23" s="230"/>
      <c r="D23" s="230"/>
      <c r="E23" s="230"/>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ht="15" customHeight="1">
      <c r="A24" s="1269" t="s">
        <v>707</v>
      </c>
      <c r="B24" s="1270"/>
      <c r="C24" s="342"/>
      <c r="D24" s="230"/>
      <c r="E24" s="23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13.5" thickBot="1">
      <c r="A25" s="1271"/>
      <c r="B25" s="1272"/>
      <c r="C25" s="343">
        <f>SUM(C11:C20)</f>
        <v>0</v>
      </c>
      <c r="D25" s="230"/>
      <c r="E25" s="23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c r="A26" s="230"/>
      <c r="B26" s="230"/>
      <c r="C26" s="230"/>
      <c r="D26" s="230"/>
      <c r="E26" s="23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c r="A27" s="230"/>
      <c r="B27" s="230"/>
      <c r="C27" s="230"/>
      <c r="D27" s="230"/>
      <c r="E27" s="230"/>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c r="A28" s="230"/>
      <c r="B28" s="230"/>
      <c r="C28" s="23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c r="A29" s="230"/>
      <c r="B29" s="230"/>
      <c r="C29" s="230"/>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c r="A30" s="230"/>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230"/>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230"/>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c r="A34" s="230"/>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c r="A35" s="230"/>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c r="A36" s="230"/>
      <c r="B36" s="230"/>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230"/>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c r="A39" s="230"/>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230"/>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230"/>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230"/>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230"/>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c r="A44" s="230"/>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c r="A45" s="230"/>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sheetData>
  <sheetProtection sheet="1"/>
  <mergeCells count="2">
    <mergeCell ref="A24:B25"/>
    <mergeCell ref="A6:F6"/>
  </mergeCells>
  <pageMargins left="0.7" right="0.7" top="0.75" bottom="0.75" header="0.3" footer="0.3"/>
  <pageSetup orientation="portrait" r:id="rId1"/>
  <ignoredErrors>
    <ignoredError sqref="C25" formulaRange="1"/>
  </ignoredErrors>
  <drawing r:id="rId2"/>
  <legacyDrawing r:id="rId3"/>
  <controls>
    <mc:AlternateContent xmlns:mc="http://schemas.openxmlformats.org/markup-compatibility/2006">
      <mc:Choice Requires="x14">
        <control shapeId="25018" r:id="rId4" name="CommandButton1">
          <controlPr autoLine="0" r:id="rId5">
            <anchor>
              <from>
                <xdr:col>1</xdr:col>
                <xdr:colOff>133350</xdr:colOff>
                <xdr:row>0</xdr:row>
                <xdr:rowOff>142875</xdr:rowOff>
              </from>
              <to>
                <xdr:col>1</xdr:col>
                <xdr:colOff>1047750</xdr:colOff>
                <xdr:row>1</xdr:row>
                <xdr:rowOff>142875</xdr:rowOff>
              </to>
            </anchor>
          </controlPr>
        </control>
      </mc:Choice>
      <mc:Fallback>
        <control shapeId="25018" r:id="rId4" name="CommandButton1"/>
      </mc:Fallback>
    </mc:AlternateContent>
    <mc:AlternateContent xmlns:mc="http://schemas.openxmlformats.org/markup-compatibility/2006">
      <mc:Choice Requires="x14">
        <control shapeId="25019" r:id="rId6" name="CommandButton2">
          <controlPr autoLine="0" r:id="rId7">
            <anchor>
              <from>
                <xdr:col>1</xdr:col>
                <xdr:colOff>1247775</xdr:colOff>
                <xdr:row>0</xdr:row>
                <xdr:rowOff>133350</xdr:rowOff>
              </from>
              <to>
                <xdr:col>2</xdr:col>
                <xdr:colOff>304800</xdr:colOff>
                <xdr:row>1</xdr:row>
                <xdr:rowOff>133350</xdr:rowOff>
              </to>
            </anchor>
          </controlPr>
        </control>
      </mc:Choice>
      <mc:Fallback>
        <control shapeId="25019" r:id="rId6" name="CommandButton2"/>
      </mc:Fallback>
    </mc:AlternateContent>
    <mc:AlternateContent xmlns:mc="http://schemas.openxmlformats.org/markup-compatibility/2006">
      <mc:Choice Requires="x14">
        <control shapeId="25020" r:id="rId8" name="CommandButton3">
          <controlPr autoLine="0" r:id="rId9">
            <anchor moveWithCells="1">
              <from>
                <xdr:col>3</xdr:col>
                <xdr:colOff>495300</xdr:colOff>
                <xdr:row>0</xdr:row>
                <xdr:rowOff>142875</xdr:rowOff>
              </from>
              <to>
                <xdr:col>4</xdr:col>
                <xdr:colOff>590550</xdr:colOff>
                <xdr:row>1</xdr:row>
                <xdr:rowOff>133350</xdr:rowOff>
              </to>
            </anchor>
          </controlPr>
        </control>
      </mc:Choice>
      <mc:Fallback>
        <control shapeId="25020" r:id="rId8" name="CommandButton3"/>
      </mc:Fallback>
    </mc:AlternateContent>
  </control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3"/>
  <dimension ref="A1:AD202"/>
  <sheetViews>
    <sheetView zoomScaleNormal="100" workbookViewId="0"/>
  </sheetViews>
  <sheetFormatPr defaultColWidth="9.140625" defaultRowHeight="12.75"/>
  <cols>
    <col min="1" max="1" width="30.5703125" style="8" bestFit="1" customWidth="1"/>
    <col min="2" max="2" width="24" style="8" bestFit="1" customWidth="1"/>
    <col min="3" max="3" width="23.5703125" style="8" bestFit="1" customWidth="1"/>
    <col min="4" max="4" width="25.7109375" style="8" customWidth="1"/>
    <col min="5" max="16384" width="9.140625" style="8"/>
  </cols>
  <sheetData>
    <row r="1" spans="1:30" customFormat="1"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customFormat="1"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711</v>
      </c>
      <c r="B3" s="14"/>
      <c r="C3" s="14"/>
      <c r="D3" s="14"/>
      <c r="E3" s="257"/>
      <c r="F3" s="257"/>
      <c r="G3" s="257"/>
      <c r="H3" s="257"/>
      <c r="I3" s="257"/>
      <c r="J3" s="257"/>
      <c r="K3" s="257"/>
      <c r="L3" s="257"/>
      <c r="M3" s="257"/>
      <c r="N3" s="257"/>
      <c r="O3" s="257"/>
      <c r="P3" s="257"/>
      <c r="Q3" s="257"/>
      <c r="R3" s="257"/>
      <c r="S3" s="257"/>
      <c r="T3" s="257"/>
      <c r="U3" s="257"/>
      <c r="V3" s="257"/>
      <c r="W3" s="257"/>
      <c r="X3" s="257"/>
      <c r="Y3" s="257"/>
      <c r="Z3" s="257"/>
      <c r="AA3" s="257"/>
      <c r="AB3" s="257"/>
      <c r="AC3" s="257"/>
      <c r="AD3" s="257"/>
    </row>
    <row r="4" spans="1:30">
      <c r="A4" s="14"/>
      <c r="B4" s="14"/>
      <c r="C4" s="14"/>
      <c r="D4" s="14"/>
      <c r="E4" s="257"/>
      <c r="F4" s="257"/>
      <c r="G4" s="257"/>
      <c r="H4" s="257"/>
      <c r="I4" s="257"/>
      <c r="J4" s="257"/>
      <c r="K4" s="257"/>
      <c r="L4" s="257"/>
      <c r="M4" s="257"/>
      <c r="N4" s="257"/>
      <c r="O4" s="257"/>
      <c r="P4" s="257"/>
      <c r="Q4" s="257"/>
      <c r="R4" s="257"/>
      <c r="S4" s="257"/>
      <c r="T4" s="257"/>
      <c r="U4" s="257"/>
      <c r="V4" s="257"/>
      <c r="W4" s="257"/>
      <c r="X4" s="257"/>
      <c r="Y4" s="257"/>
      <c r="Z4" s="257"/>
      <c r="AA4" s="257"/>
      <c r="AB4" s="257"/>
      <c r="AC4" s="257"/>
      <c r="AD4" s="257"/>
    </row>
    <row r="5" spans="1:30" ht="13.5" thickBot="1">
      <c r="A5" s="14"/>
      <c r="B5" s="14"/>
      <c r="C5" s="14"/>
      <c r="D5" s="14"/>
      <c r="E5" s="257"/>
      <c r="F5" s="257"/>
      <c r="G5" s="257"/>
      <c r="H5" s="257"/>
      <c r="I5" s="257"/>
      <c r="J5" s="257"/>
      <c r="K5" s="257"/>
      <c r="L5" s="257"/>
      <c r="M5" s="257"/>
      <c r="N5" s="257"/>
      <c r="O5" s="257"/>
      <c r="P5" s="257"/>
      <c r="Q5" s="257"/>
      <c r="R5" s="257"/>
      <c r="S5" s="257"/>
      <c r="T5" s="257"/>
      <c r="U5" s="257"/>
      <c r="V5" s="257"/>
      <c r="W5" s="257"/>
      <c r="X5" s="257"/>
      <c r="Y5" s="257"/>
      <c r="Z5" s="257"/>
      <c r="AA5" s="257"/>
      <c r="AB5" s="257"/>
      <c r="AC5" s="257"/>
      <c r="AD5" s="257"/>
    </row>
    <row r="6" spans="1:30" ht="13.5" thickBot="1">
      <c r="A6" s="1273" t="s">
        <v>154</v>
      </c>
      <c r="B6" s="1274"/>
      <c r="C6" s="1274"/>
      <c r="D6" s="1275"/>
      <c r="E6" s="257"/>
      <c r="F6" s="257"/>
      <c r="G6" s="257"/>
      <c r="H6" s="257"/>
      <c r="I6" s="257"/>
      <c r="J6" s="257"/>
      <c r="K6" s="257"/>
      <c r="L6" s="257"/>
      <c r="M6" s="257"/>
      <c r="N6" s="257"/>
      <c r="O6" s="257"/>
      <c r="P6" s="257"/>
      <c r="Q6" s="257"/>
      <c r="R6" s="257"/>
      <c r="S6" s="257"/>
      <c r="T6" s="257"/>
      <c r="U6" s="257"/>
      <c r="V6" s="257"/>
      <c r="W6" s="257"/>
      <c r="X6" s="257"/>
      <c r="Y6" s="257"/>
      <c r="Z6" s="257"/>
      <c r="AA6" s="257"/>
      <c r="AB6" s="257"/>
      <c r="AC6" s="257"/>
      <c r="AD6" s="257"/>
    </row>
    <row r="7" spans="1:30" ht="13.5" thickBot="1">
      <c r="A7" s="259" t="s">
        <v>269</v>
      </c>
      <c r="B7" s="259" t="s">
        <v>270</v>
      </c>
      <c r="C7" s="259" t="s">
        <v>271</v>
      </c>
      <c r="D7" s="379" t="s">
        <v>169</v>
      </c>
      <c r="E7" s="257"/>
      <c r="F7" s="257"/>
      <c r="G7" s="257"/>
      <c r="H7" s="257"/>
      <c r="I7" s="257"/>
      <c r="J7" s="257"/>
      <c r="K7" s="257"/>
      <c r="L7" s="257"/>
      <c r="M7" s="257"/>
      <c r="N7" s="257"/>
      <c r="O7" s="257"/>
      <c r="P7" s="257"/>
      <c r="Q7" s="257"/>
      <c r="R7" s="257"/>
      <c r="S7" s="257"/>
      <c r="T7" s="257"/>
      <c r="U7" s="257"/>
      <c r="V7" s="257"/>
      <c r="W7" s="257"/>
      <c r="X7" s="257"/>
      <c r="Y7" s="257"/>
      <c r="Z7" s="257"/>
      <c r="AA7" s="257"/>
      <c r="AB7" s="257"/>
      <c r="AC7" s="257"/>
      <c r="AD7" s="257"/>
    </row>
    <row r="8" spans="1:30">
      <c r="A8" s="350" t="s">
        <v>399</v>
      </c>
      <c r="B8" s="350" t="s">
        <v>405</v>
      </c>
      <c r="C8" s="238">
        <v>453.6</v>
      </c>
      <c r="D8" s="351" t="s">
        <v>406</v>
      </c>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row>
    <row r="9" spans="1:30">
      <c r="A9" s="350" t="s">
        <v>399</v>
      </c>
      <c r="B9" s="350" t="s">
        <v>402</v>
      </c>
      <c r="C9" s="238">
        <v>0.4536</v>
      </c>
      <c r="D9" s="351" t="s">
        <v>407</v>
      </c>
      <c r="E9" s="257"/>
      <c r="F9" s="257"/>
      <c r="G9" s="257"/>
      <c r="H9" s="257"/>
      <c r="I9" s="257"/>
      <c r="J9" s="257"/>
      <c r="K9" s="257"/>
      <c r="L9" s="257"/>
      <c r="M9" s="257"/>
      <c r="N9" s="257"/>
      <c r="O9" s="257"/>
      <c r="P9" s="257"/>
      <c r="Q9" s="257"/>
      <c r="R9" s="257"/>
      <c r="S9" s="257"/>
      <c r="T9" s="257"/>
      <c r="U9" s="257"/>
      <c r="V9" s="257"/>
      <c r="W9" s="257"/>
      <c r="X9" s="257"/>
      <c r="Y9" s="257"/>
      <c r="Z9" s="257"/>
      <c r="AA9" s="257"/>
      <c r="AB9" s="257"/>
      <c r="AC9" s="257"/>
      <c r="AD9" s="257"/>
    </row>
    <row r="10" spans="1:30">
      <c r="A10" s="350" t="s">
        <v>399</v>
      </c>
      <c r="B10" s="351" t="s">
        <v>401</v>
      </c>
      <c r="C10" s="238">
        <v>4.5360000000000002E-4</v>
      </c>
      <c r="D10" s="351" t="s">
        <v>408</v>
      </c>
      <c r="E10" s="257"/>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row>
    <row r="11" spans="1:30">
      <c r="A11" s="348" t="s">
        <v>402</v>
      </c>
      <c r="B11" s="350" t="s">
        <v>399</v>
      </c>
      <c r="C11" s="194">
        <v>2.2050000000000001</v>
      </c>
      <c r="D11" s="351" t="s">
        <v>404</v>
      </c>
      <c r="E11" s="257"/>
      <c r="F11" s="257"/>
      <c r="G11" s="257"/>
      <c r="H11" s="257"/>
      <c r="I11" s="257"/>
      <c r="J11" s="257"/>
      <c r="K11" s="257"/>
      <c r="L11" s="257"/>
      <c r="M11" s="257"/>
      <c r="N11" s="257"/>
      <c r="O11" s="257"/>
      <c r="P11" s="257"/>
      <c r="Q11" s="257"/>
      <c r="R11" s="257"/>
      <c r="S11" s="257"/>
      <c r="T11" s="257"/>
      <c r="U11" s="257"/>
      <c r="V11" s="257"/>
      <c r="W11" s="257"/>
      <c r="X11" s="257"/>
      <c r="Y11" s="257"/>
      <c r="Z11" s="257"/>
      <c r="AA11" s="257"/>
      <c r="AB11" s="257"/>
      <c r="AC11" s="257"/>
      <c r="AD11" s="257"/>
    </row>
    <row r="12" spans="1:30">
      <c r="A12" s="350" t="s">
        <v>405</v>
      </c>
      <c r="B12" s="348" t="s">
        <v>295</v>
      </c>
      <c r="C12" s="1112">
        <f>C13/1000</f>
        <v>1.1020000000000002E-6</v>
      </c>
      <c r="D12" s="1101" t="s">
        <v>1379</v>
      </c>
      <c r="E12" s="257"/>
      <c r="F12" s="257"/>
      <c r="G12" s="257"/>
      <c r="H12" s="257"/>
      <c r="I12" s="257"/>
      <c r="J12" s="257"/>
      <c r="K12" s="257"/>
      <c r="L12" s="257"/>
      <c r="M12" s="257"/>
      <c r="N12" s="257"/>
      <c r="O12" s="257"/>
      <c r="P12" s="257"/>
      <c r="Q12" s="257"/>
      <c r="R12" s="257"/>
      <c r="S12" s="257"/>
      <c r="T12" s="257"/>
      <c r="U12" s="257"/>
      <c r="V12" s="257"/>
      <c r="W12" s="257"/>
      <c r="X12" s="257"/>
      <c r="Y12" s="257"/>
      <c r="Z12" s="257"/>
      <c r="AA12" s="257"/>
      <c r="AB12" s="257"/>
      <c r="AC12" s="257"/>
      <c r="AD12" s="257"/>
    </row>
    <row r="13" spans="1:30">
      <c r="A13" s="350" t="s">
        <v>402</v>
      </c>
      <c r="B13" s="348" t="s">
        <v>295</v>
      </c>
      <c r="C13" s="1113">
        <f>C14/1000</f>
        <v>1.1020000000000001E-3</v>
      </c>
      <c r="D13" s="1102" t="s">
        <v>1380</v>
      </c>
      <c r="E13" s="257"/>
      <c r="F13" s="257"/>
      <c r="G13" s="257"/>
      <c r="H13" s="257"/>
      <c r="I13" s="257"/>
      <c r="J13" s="257"/>
      <c r="K13" s="257"/>
      <c r="L13" s="257"/>
      <c r="M13" s="257"/>
      <c r="N13" s="257"/>
      <c r="O13" s="257"/>
      <c r="P13" s="257"/>
      <c r="Q13" s="257"/>
      <c r="R13" s="257"/>
      <c r="S13" s="257"/>
      <c r="T13" s="257"/>
      <c r="U13" s="257"/>
      <c r="V13" s="257"/>
      <c r="W13" s="257"/>
      <c r="X13" s="257"/>
      <c r="Y13" s="257"/>
      <c r="Z13" s="257"/>
      <c r="AA13" s="257"/>
      <c r="AB13" s="257"/>
      <c r="AC13" s="257"/>
      <c r="AD13" s="257"/>
    </row>
    <row r="14" spans="1:30">
      <c r="A14" s="351" t="s">
        <v>401</v>
      </c>
      <c r="B14" s="348" t="s">
        <v>295</v>
      </c>
      <c r="C14" s="1105">
        <v>1.1020000000000001</v>
      </c>
      <c r="D14" s="1101" t="s">
        <v>410</v>
      </c>
      <c r="E14" s="257"/>
      <c r="F14" s="257"/>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row>
    <row r="15" spans="1:30">
      <c r="A15" s="350" t="s">
        <v>399</v>
      </c>
      <c r="B15" s="348" t="s">
        <v>295</v>
      </c>
      <c r="C15" s="1103">
        <f>1/2000</f>
        <v>5.0000000000000001E-4</v>
      </c>
      <c r="D15" s="1101" t="s">
        <v>1381</v>
      </c>
      <c r="E15" s="257"/>
      <c r="F15" s="257"/>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row>
    <row r="16" spans="1:30">
      <c r="A16" s="348" t="s">
        <v>295</v>
      </c>
      <c r="B16" s="348" t="s">
        <v>295</v>
      </c>
      <c r="C16" s="1104">
        <v>1</v>
      </c>
      <c r="D16" s="1101" t="s">
        <v>1378</v>
      </c>
      <c r="E16" s="257"/>
      <c r="F16" s="257"/>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row>
    <row r="17" spans="1:30">
      <c r="A17" s="348" t="s">
        <v>401</v>
      </c>
      <c r="B17" s="350" t="s">
        <v>399</v>
      </c>
      <c r="C17" s="236">
        <v>2205</v>
      </c>
      <c r="D17" s="351" t="s">
        <v>403</v>
      </c>
      <c r="E17" s="257"/>
      <c r="F17" s="257"/>
      <c r="G17" s="257"/>
      <c r="H17" s="257"/>
      <c r="I17" s="257"/>
      <c r="J17" s="257"/>
      <c r="K17" s="257"/>
      <c r="L17" s="257"/>
      <c r="M17" s="257"/>
      <c r="N17" s="257"/>
      <c r="O17" s="257"/>
      <c r="P17" s="257"/>
      <c r="Q17" s="257"/>
      <c r="R17" s="257"/>
      <c r="S17" s="257"/>
      <c r="T17" s="257"/>
      <c r="U17" s="257"/>
      <c r="V17" s="257"/>
      <c r="W17" s="257"/>
      <c r="X17" s="257"/>
      <c r="Y17" s="257"/>
      <c r="Z17" s="257"/>
      <c r="AA17" s="257"/>
      <c r="AB17" s="257"/>
      <c r="AC17" s="257"/>
      <c r="AD17" s="257"/>
    </row>
    <row r="18" spans="1:30">
      <c r="A18" s="348" t="s">
        <v>401</v>
      </c>
      <c r="B18" s="350" t="s">
        <v>402</v>
      </c>
      <c r="C18" s="236">
        <v>1000</v>
      </c>
      <c r="D18" s="351" t="s">
        <v>409</v>
      </c>
      <c r="E18" s="257"/>
      <c r="F18" s="257"/>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row>
    <row r="19" spans="1:30" ht="13.5" thickBot="1">
      <c r="A19" s="14"/>
      <c r="B19" s="195"/>
      <c r="C19" s="195"/>
      <c r="E19" s="257"/>
      <c r="F19" s="257"/>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row>
    <row r="20" spans="1:30" ht="13.5" thickBot="1">
      <c r="A20" s="1273" t="s">
        <v>155</v>
      </c>
      <c r="B20" s="1274"/>
      <c r="C20" s="1274"/>
      <c r="D20" s="1275"/>
      <c r="E20" s="257"/>
      <c r="F20" s="257"/>
      <c r="G20" s="257"/>
      <c r="H20" s="257"/>
      <c r="I20" s="257"/>
      <c r="J20" s="257"/>
      <c r="K20" s="257"/>
      <c r="L20" s="257"/>
      <c r="M20" s="257"/>
      <c r="N20" s="257"/>
      <c r="O20" s="257"/>
      <c r="P20" s="257"/>
      <c r="Q20" s="257"/>
      <c r="R20" s="257"/>
      <c r="S20" s="257"/>
      <c r="T20" s="257"/>
      <c r="U20" s="257"/>
      <c r="V20" s="257"/>
      <c r="W20" s="257"/>
      <c r="X20" s="257"/>
      <c r="Y20" s="257"/>
      <c r="Z20" s="257"/>
      <c r="AA20" s="257"/>
      <c r="AB20" s="257"/>
      <c r="AC20" s="257"/>
      <c r="AD20" s="257"/>
    </row>
    <row r="21" spans="1:30" ht="13.5" thickBot="1">
      <c r="A21" s="258" t="s">
        <v>269</v>
      </c>
      <c r="B21" s="259" t="s">
        <v>270</v>
      </c>
      <c r="C21" s="259" t="s">
        <v>271</v>
      </c>
      <c r="D21" s="379" t="s">
        <v>169</v>
      </c>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row>
    <row r="22" spans="1:30">
      <c r="A22" s="216" t="s">
        <v>411</v>
      </c>
      <c r="B22" s="286" t="s">
        <v>419</v>
      </c>
      <c r="C22" s="238">
        <v>7.4805000000000001</v>
      </c>
      <c r="D22" s="286" t="s">
        <v>415</v>
      </c>
      <c r="E22" s="257"/>
      <c r="F22" s="257"/>
      <c r="G22" s="257"/>
      <c r="H22" s="257"/>
      <c r="I22" s="257"/>
      <c r="J22" s="257"/>
      <c r="K22" s="257"/>
      <c r="L22" s="257"/>
      <c r="M22" s="257"/>
      <c r="N22" s="257"/>
      <c r="O22" s="257"/>
      <c r="P22" s="257"/>
      <c r="Q22" s="257"/>
      <c r="R22" s="257"/>
      <c r="S22" s="257"/>
      <c r="T22" s="257"/>
      <c r="U22" s="257"/>
      <c r="V22" s="257"/>
      <c r="W22" s="257"/>
      <c r="X22" s="257"/>
      <c r="Y22" s="257"/>
      <c r="Z22" s="257"/>
      <c r="AA22" s="257"/>
      <c r="AB22" s="257"/>
      <c r="AC22" s="257"/>
      <c r="AD22" s="257"/>
    </row>
    <row r="23" spans="1:30">
      <c r="A23" s="217" t="s">
        <v>411</v>
      </c>
      <c r="B23" s="263" t="s">
        <v>413</v>
      </c>
      <c r="C23" s="194">
        <v>0.17810000000000001</v>
      </c>
      <c r="D23" s="263" t="s">
        <v>416</v>
      </c>
      <c r="E23" s="257"/>
      <c r="F23" s="257"/>
      <c r="G23" s="257"/>
      <c r="H23" s="257"/>
      <c r="I23" s="257"/>
      <c r="J23" s="257"/>
      <c r="K23" s="257"/>
      <c r="L23" s="257"/>
      <c r="M23" s="257"/>
      <c r="N23" s="257"/>
      <c r="O23" s="257"/>
      <c r="P23" s="257"/>
      <c r="Q23" s="257"/>
      <c r="R23" s="257"/>
      <c r="S23" s="257"/>
      <c r="T23" s="257"/>
      <c r="U23" s="257"/>
      <c r="V23" s="257"/>
      <c r="W23" s="257"/>
      <c r="X23" s="257"/>
      <c r="Y23" s="257"/>
      <c r="Z23" s="257"/>
      <c r="AA23" s="257"/>
      <c r="AB23" s="257"/>
      <c r="AC23" s="257"/>
      <c r="AD23" s="257"/>
    </row>
    <row r="24" spans="1:30">
      <c r="A24" s="217" t="s">
        <v>411</v>
      </c>
      <c r="B24" s="263" t="s">
        <v>414</v>
      </c>
      <c r="C24" s="194">
        <v>28.32</v>
      </c>
      <c r="D24" s="263" t="s">
        <v>417</v>
      </c>
      <c r="E24" s="257"/>
      <c r="F24" s="257"/>
      <c r="G24" s="257"/>
      <c r="H24" s="257"/>
      <c r="I24" s="257"/>
      <c r="J24" s="257"/>
      <c r="K24" s="257"/>
      <c r="L24" s="257"/>
      <c r="M24" s="257"/>
      <c r="N24" s="257"/>
      <c r="O24" s="257"/>
      <c r="P24" s="257"/>
      <c r="Q24" s="257"/>
      <c r="R24" s="257"/>
      <c r="S24" s="257"/>
      <c r="T24" s="257"/>
      <c r="U24" s="257"/>
      <c r="V24" s="257"/>
      <c r="W24" s="257"/>
      <c r="X24" s="257"/>
      <c r="Y24" s="257"/>
      <c r="Z24" s="257"/>
      <c r="AA24" s="257"/>
      <c r="AB24" s="257"/>
      <c r="AC24" s="257"/>
      <c r="AD24" s="257"/>
    </row>
    <row r="25" spans="1:30">
      <c r="A25" s="217" t="s">
        <v>411</v>
      </c>
      <c r="B25" s="263" t="s">
        <v>420</v>
      </c>
      <c r="C25" s="194">
        <v>2.8320000000000001E-2</v>
      </c>
      <c r="D25" s="263" t="s">
        <v>418</v>
      </c>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row>
    <row r="26" spans="1:30">
      <c r="A26" s="263" t="s">
        <v>419</v>
      </c>
      <c r="B26" s="263" t="s">
        <v>413</v>
      </c>
      <c r="C26" s="194">
        <v>2.3800000000000002E-2</v>
      </c>
      <c r="D26" s="263" t="s">
        <v>421</v>
      </c>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257"/>
    </row>
    <row r="27" spans="1:30">
      <c r="A27" s="263" t="s">
        <v>419</v>
      </c>
      <c r="B27" s="263" t="s">
        <v>414</v>
      </c>
      <c r="C27" s="194">
        <v>3.7850000000000001</v>
      </c>
      <c r="D27" s="263" t="s">
        <v>422</v>
      </c>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row>
    <row r="28" spans="1:30">
      <c r="A28" s="263" t="s">
        <v>419</v>
      </c>
      <c r="B28" s="263" t="s">
        <v>420</v>
      </c>
      <c r="C28" s="194">
        <v>3.7850000000000002E-3</v>
      </c>
      <c r="D28" s="263" t="s">
        <v>423</v>
      </c>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257"/>
    </row>
    <row r="29" spans="1:30">
      <c r="A29" s="263" t="s">
        <v>413</v>
      </c>
      <c r="B29" s="263" t="s">
        <v>412</v>
      </c>
      <c r="C29" s="194">
        <v>42</v>
      </c>
      <c r="D29" s="263" t="s">
        <v>424</v>
      </c>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row>
    <row r="30" spans="1:30">
      <c r="A30" s="263" t="s">
        <v>413</v>
      </c>
      <c r="B30" s="263" t="s">
        <v>414</v>
      </c>
      <c r="C30" s="194">
        <v>158.99</v>
      </c>
      <c r="D30" s="263" t="s">
        <v>425</v>
      </c>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257"/>
    </row>
    <row r="31" spans="1:30">
      <c r="A31" s="263" t="s">
        <v>413</v>
      </c>
      <c r="B31" s="263" t="s">
        <v>420</v>
      </c>
      <c r="C31" s="194">
        <v>0.15890000000000001</v>
      </c>
      <c r="D31" s="263" t="s">
        <v>426</v>
      </c>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257"/>
    </row>
    <row r="32" spans="1:30">
      <c r="A32" s="263" t="s">
        <v>414</v>
      </c>
      <c r="B32" s="263" t="s">
        <v>420</v>
      </c>
      <c r="C32" s="194">
        <v>1E-3</v>
      </c>
      <c r="D32" s="263" t="s">
        <v>427</v>
      </c>
      <c r="E32" s="257"/>
      <c r="F32" s="257"/>
      <c r="G32" s="257"/>
      <c r="H32" s="257"/>
      <c r="I32" s="257"/>
      <c r="J32" s="257"/>
      <c r="K32" s="257"/>
      <c r="L32" s="257"/>
      <c r="M32" s="257"/>
      <c r="N32" s="257"/>
      <c r="O32" s="257"/>
      <c r="P32" s="257"/>
      <c r="Q32" s="257"/>
      <c r="R32" s="257"/>
      <c r="S32" s="257"/>
      <c r="T32" s="257"/>
      <c r="U32" s="257"/>
      <c r="V32" s="257"/>
      <c r="W32" s="257"/>
      <c r="X32" s="257"/>
      <c r="Y32" s="257"/>
      <c r="Z32" s="257"/>
      <c r="AA32" s="257"/>
      <c r="AB32" s="257"/>
      <c r="AC32" s="257"/>
      <c r="AD32" s="257"/>
    </row>
    <row r="33" spans="1:30">
      <c r="A33" s="263" t="s">
        <v>414</v>
      </c>
      <c r="B33" s="263" t="s">
        <v>419</v>
      </c>
      <c r="C33" s="194">
        <v>0.26419999999999999</v>
      </c>
      <c r="D33" s="263" t="s">
        <v>428</v>
      </c>
      <c r="E33" s="257"/>
      <c r="F33" s="257"/>
      <c r="G33" s="257"/>
      <c r="H33" s="257"/>
      <c r="I33" s="257"/>
      <c r="J33" s="257"/>
      <c r="K33" s="257"/>
      <c r="L33" s="257"/>
      <c r="M33" s="257"/>
      <c r="N33" s="257"/>
      <c r="O33" s="257"/>
      <c r="P33" s="257"/>
      <c r="Q33" s="257"/>
      <c r="R33" s="257"/>
      <c r="S33" s="257"/>
      <c r="T33" s="257"/>
      <c r="U33" s="257"/>
      <c r="V33" s="257"/>
      <c r="W33" s="257"/>
      <c r="X33" s="257"/>
      <c r="Y33" s="257"/>
      <c r="Z33" s="257"/>
      <c r="AA33" s="257"/>
      <c r="AB33" s="257"/>
      <c r="AC33" s="257"/>
      <c r="AD33" s="257"/>
    </row>
    <row r="34" spans="1:30">
      <c r="A34" s="263" t="s">
        <v>420</v>
      </c>
      <c r="B34" s="263" t="s">
        <v>413</v>
      </c>
      <c r="C34" s="194">
        <v>6.2896999999999998</v>
      </c>
      <c r="D34" s="263" t="s">
        <v>429</v>
      </c>
      <c r="E34" s="257"/>
      <c r="F34" s="257"/>
      <c r="G34" s="257"/>
      <c r="H34" s="257"/>
      <c r="I34" s="257"/>
      <c r="J34" s="257"/>
      <c r="K34" s="257"/>
      <c r="L34" s="257"/>
      <c r="M34" s="257"/>
      <c r="N34" s="257"/>
      <c r="O34" s="257"/>
      <c r="P34" s="257"/>
      <c r="Q34" s="257"/>
      <c r="R34" s="257"/>
      <c r="S34" s="257"/>
      <c r="T34" s="257"/>
      <c r="U34" s="257"/>
      <c r="V34" s="257"/>
      <c r="W34" s="257"/>
      <c r="X34" s="257"/>
      <c r="Y34" s="257"/>
      <c r="Z34" s="257"/>
      <c r="AA34" s="257"/>
      <c r="AB34" s="257"/>
      <c r="AC34" s="257"/>
      <c r="AD34" s="257"/>
    </row>
    <row r="35" spans="1:30">
      <c r="A35" s="263" t="s">
        <v>420</v>
      </c>
      <c r="B35" s="263" t="s">
        <v>419</v>
      </c>
      <c r="C35" s="194">
        <v>264.2</v>
      </c>
      <c r="D35" s="263" t="s">
        <v>430</v>
      </c>
      <c r="E35" s="257"/>
      <c r="F35" s="257"/>
      <c r="G35" s="257"/>
      <c r="H35" s="257"/>
      <c r="I35" s="257"/>
      <c r="J35" s="257"/>
      <c r="K35" s="257"/>
      <c r="L35" s="257"/>
      <c r="M35" s="257"/>
      <c r="N35" s="257"/>
      <c r="O35" s="257"/>
      <c r="P35" s="257"/>
      <c r="Q35" s="257"/>
      <c r="R35" s="257"/>
      <c r="S35" s="257"/>
      <c r="T35" s="257"/>
      <c r="U35" s="257"/>
      <c r="V35" s="257"/>
      <c r="W35" s="257"/>
      <c r="X35" s="257"/>
      <c r="Y35" s="257"/>
      <c r="Z35" s="257"/>
      <c r="AA35" s="257"/>
      <c r="AB35" s="257"/>
      <c r="AC35" s="257"/>
      <c r="AD35" s="257"/>
    </row>
    <row r="36" spans="1:30">
      <c r="A36" s="263" t="s">
        <v>420</v>
      </c>
      <c r="B36" s="263" t="s">
        <v>414</v>
      </c>
      <c r="C36" s="236">
        <v>1000</v>
      </c>
      <c r="D36" s="263" t="s">
        <v>431</v>
      </c>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257"/>
    </row>
    <row r="37" spans="1:30" ht="13.5" thickBot="1">
      <c r="A37" s="14"/>
      <c r="B37" s="195"/>
      <c r="C37" s="195"/>
      <c r="D37" s="195"/>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257"/>
    </row>
    <row r="38" spans="1:30" ht="13.5" thickBot="1">
      <c r="A38" s="1273" t="s">
        <v>156</v>
      </c>
      <c r="B38" s="1274"/>
      <c r="C38" s="1274"/>
      <c r="D38" s="1275"/>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257"/>
    </row>
    <row r="39" spans="1:30" ht="13.5" thickBot="1">
      <c r="A39" s="258" t="s">
        <v>269</v>
      </c>
      <c r="B39" s="259" t="s">
        <v>270</v>
      </c>
      <c r="C39" s="259" t="s">
        <v>271</v>
      </c>
      <c r="D39" s="379" t="s">
        <v>169</v>
      </c>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257"/>
    </row>
    <row r="40" spans="1:30">
      <c r="A40" s="216" t="s">
        <v>438</v>
      </c>
      <c r="B40" s="286" t="s">
        <v>432</v>
      </c>
      <c r="C40" s="237">
        <v>3412</v>
      </c>
      <c r="D40" s="350" t="s">
        <v>441</v>
      </c>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257"/>
    </row>
    <row r="41" spans="1:30">
      <c r="A41" s="216" t="s">
        <v>438</v>
      </c>
      <c r="B41" s="263" t="s">
        <v>433</v>
      </c>
      <c r="C41" s="236">
        <v>3600</v>
      </c>
      <c r="D41" s="348" t="s">
        <v>442</v>
      </c>
      <c r="E41" s="257"/>
      <c r="F41" s="257"/>
      <c r="G41" s="257"/>
      <c r="H41" s="257"/>
      <c r="I41" s="257"/>
      <c r="J41" s="257"/>
      <c r="K41" s="257"/>
      <c r="L41" s="257"/>
      <c r="M41" s="257"/>
      <c r="N41" s="257"/>
      <c r="O41" s="257"/>
      <c r="P41" s="257"/>
      <c r="Q41" s="257"/>
      <c r="R41" s="257"/>
      <c r="S41" s="257"/>
      <c r="T41" s="257"/>
      <c r="U41" s="257"/>
      <c r="V41" s="257"/>
      <c r="W41" s="257"/>
      <c r="X41" s="257"/>
      <c r="Y41" s="257"/>
      <c r="Z41" s="257"/>
      <c r="AA41" s="257"/>
      <c r="AB41" s="257"/>
      <c r="AC41" s="257"/>
      <c r="AD41" s="257"/>
    </row>
    <row r="42" spans="1:30">
      <c r="A42" s="217" t="s">
        <v>439</v>
      </c>
      <c r="B42" s="263" t="s">
        <v>434</v>
      </c>
      <c r="C42" s="194">
        <v>1E-3</v>
      </c>
      <c r="D42" s="348" t="s">
        <v>443</v>
      </c>
      <c r="E42" s="257"/>
      <c r="F42" s="257"/>
      <c r="G42" s="257"/>
      <c r="H42" s="257"/>
      <c r="I42" s="257"/>
      <c r="J42" s="257"/>
      <c r="K42" s="257"/>
      <c r="L42" s="257"/>
      <c r="M42" s="257"/>
      <c r="N42" s="257"/>
      <c r="O42" s="257"/>
      <c r="P42" s="257"/>
      <c r="Q42" s="257"/>
      <c r="R42" s="257"/>
      <c r="S42" s="257"/>
      <c r="T42" s="257"/>
      <c r="U42" s="257"/>
      <c r="V42" s="257"/>
      <c r="W42" s="257"/>
      <c r="X42" s="257"/>
      <c r="Y42" s="257"/>
      <c r="Z42" s="257"/>
      <c r="AA42" s="257"/>
      <c r="AB42" s="257"/>
      <c r="AC42" s="257"/>
      <c r="AD42" s="257"/>
    </row>
    <row r="43" spans="1:30">
      <c r="A43" s="217" t="s">
        <v>440</v>
      </c>
      <c r="B43" s="263" t="s">
        <v>435</v>
      </c>
      <c r="C43" s="194">
        <v>0.94779999999999998</v>
      </c>
      <c r="D43" s="348" t="s">
        <v>444</v>
      </c>
      <c r="E43" s="257"/>
      <c r="F43" s="257"/>
      <c r="G43" s="257"/>
      <c r="H43" s="257"/>
      <c r="I43" s="257"/>
      <c r="J43" s="257"/>
      <c r="K43" s="257"/>
      <c r="L43" s="257"/>
      <c r="M43" s="257"/>
      <c r="N43" s="257"/>
      <c r="O43" s="257"/>
      <c r="P43" s="257"/>
      <c r="Q43" s="257"/>
      <c r="R43" s="257"/>
      <c r="S43" s="257"/>
      <c r="T43" s="257"/>
      <c r="U43" s="257"/>
      <c r="V43" s="257"/>
      <c r="W43" s="257"/>
      <c r="X43" s="257"/>
      <c r="Y43" s="257"/>
      <c r="Z43" s="257"/>
      <c r="AA43" s="257"/>
      <c r="AB43" s="257"/>
      <c r="AC43" s="257"/>
      <c r="AD43" s="257"/>
    </row>
    <row r="44" spans="1:30">
      <c r="A44" s="217" t="s">
        <v>440</v>
      </c>
      <c r="B44" s="263" t="s">
        <v>436</v>
      </c>
      <c r="C44" s="194">
        <v>277.8</v>
      </c>
      <c r="D44" s="348" t="s">
        <v>445</v>
      </c>
      <c r="E44" s="257"/>
      <c r="F44" s="257"/>
      <c r="G44" s="257"/>
      <c r="H44" s="257"/>
      <c r="I44" s="257"/>
      <c r="J44" s="257"/>
      <c r="K44" s="257"/>
      <c r="L44" s="257"/>
      <c r="M44" s="257"/>
      <c r="N44" s="257"/>
      <c r="O44" s="257"/>
      <c r="P44" s="257"/>
      <c r="Q44" s="257"/>
      <c r="R44" s="257"/>
      <c r="S44" s="257"/>
      <c r="T44" s="257"/>
      <c r="U44" s="257"/>
      <c r="V44" s="257"/>
      <c r="W44" s="257"/>
      <c r="X44" s="257"/>
      <c r="Y44" s="257"/>
      <c r="Z44" s="257"/>
      <c r="AA44" s="257"/>
      <c r="AB44" s="257"/>
      <c r="AC44" s="257"/>
      <c r="AD44" s="257"/>
    </row>
    <row r="45" spans="1:30">
      <c r="A45" s="217" t="s">
        <v>432</v>
      </c>
      <c r="B45" s="263" t="s">
        <v>437</v>
      </c>
      <c r="C45" s="236">
        <v>1055</v>
      </c>
      <c r="D45" s="348" t="s">
        <v>446</v>
      </c>
      <c r="E45" s="257"/>
      <c r="F45" s="257"/>
      <c r="G45" s="257"/>
      <c r="H45" s="257"/>
      <c r="I45" s="257"/>
      <c r="J45" s="257"/>
      <c r="K45" s="257"/>
      <c r="L45" s="257"/>
      <c r="M45" s="257"/>
      <c r="N45" s="257"/>
      <c r="O45" s="257"/>
      <c r="P45" s="257"/>
      <c r="Q45" s="257"/>
      <c r="R45" s="257"/>
      <c r="S45" s="257"/>
      <c r="T45" s="257"/>
      <c r="U45" s="257"/>
      <c r="V45" s="257"/>
      <c r="W45" s="257"/>
      <c r="X45" s="257"/>
      <c r="Y45" s="257"/>
      <c r="Z45" s="257"/>
      <c r="AA45" s="257"/>
      <c r="AB45" s="257"/>
      <c r="AC45" s="257"/>
      <c r="AD45" s="257"/>
    </row>
    <row r="46" spans="1:30">
      <c r="A46" s="217" t="s">
        <v>435</v>
      </c>
      <c r="B46" s="263" t="s">
        <v>434</v>
      </c>
      <c r="C46" s="194">
        <v>1.0549999999999999</v>
      </c>
      <c r="D46" s="348" t="s">
        <v>447</v>
      </c>
      <c r="E46" s="257"/>
      <c r="F46" s="257"/>
      <c r="G46" s="257"/>
      <c r="H46" s="257"/>
      <c r="I46" s="257"/>
      <c r="J46" s="257"/>
      <c r="K46" s="257"/>
      <c r="L46" s="257"/>
      <c r="M46" s="257"/>
      <c r="N46" s="257"/>
      <c r="O46" s="257"/>
      <c r="P46" s="257"/>
      <c r="Q46" s="257"/>
      <c r="R46" s="257"/>
      <c r="S46" s="257"/>
      <c r="T46" s="257"/>
      <c r="U46" s="257"/>
      <c r="V46" s="257"/>
      <c r="W46" s="257"/>
      <c r="X46" s="257"/>
      <c r="Y46" s="257"/>
      <c r="Z46" s="257"/>
      <c r="AA46" s="257"/>
      <c r="AB46" s="257"/>
      <c r="AC46" s="257"/>
      <c r="AD46" s="257"/>
    </row>
    <row r="47" spans="1:30">
      <c r="A47" s="217" t="s">
        <v>435</v>
      </c>
      <c r="B47" s="263" t="s">
        <v>436</v>
      </c>
      <c r="C47" s="194">
        <v>293</v>
      </c>
      <c r="D47" s="348" t="s">
        <v>448</v>
      </c>
      <c r="E47" s="257"/>
      <c r="F47" s="257"/>
      <c r="G47" s="257"/>
      <c r="H47" s="257"/>
      <c r="I47" s="257"/>
      <c r="J47" s="257"/>
      <c r="K47" s="257"/>
      <c r="L47" s="257"/>
      <c r="M47" s="257"/>
      <c r="N47" s="257"/>
      <c r="O47" s="257"/>
      <c r="P47" s="257"/>
      <c r="Q47" s="257"/>
      <c r="R47" s="257"/>
      <c r="S47" s="257"/>
      <c r="T47" s="257"/>
      <c r="U47" s="257"/>
      <c r="V47" s="257"/>
      <c r="W47" s="257"/>
      <c r="X47" s="257"/>
      <c r="Y47" s="257"/>
      <c r="Z47" s="257"/>
      <c r="AA47" s="257"/>
      <c r="AB47" s="257"/>
      <c r="AC47" s="257"/>
      <c r="AD47" s="257"/>
    </row>
    <row r="48" spans="1:30">
      <c r="A48" s="217" t="s">
        <v>278</v>
      </c>
      <c r="B48" s="263" t="s">
        <v>432</v>
      </c>
      <c r="C48" s="236">
        <v>100000</v>
      </c>
      <c r="D48" s="349" t="s">
        <v>449</v>
      </c>
      <c r="E48" s="257"/>
      <c r="F48" s="257"/>
      <c r="G48" s="257"/>
      <c r="H48" s="257"/>
      <c r="I48" s="257"/>
      <c r="J48" s="257"/>
      <c r="K48" s="257"/>
      <c r="L48" s="257"/>
      <c r="M48" s="257"/>
      <c r="N48" s="257"/>
      <c r="O48" s="257"/>
      <c r="P48" s="257"/>
      <c r="Q48" s="257"/>
      <c r="R48" s="257"/>
      <c r="S48" s="257"/>
      <c r="T48" s="257"/>
      <c r="U48" s="257"/>
      <c r="V48" s="257"/>
      <c r="W48" s="257"/>
      <c r="X48" s="257"/>
      <c r="Y48" s="257"/>
      <c r="Z48" s="257"/>
      <c r="AA48" s="257"/>
      <c r="AB48" s="257"/>
      <c r="AC48" s="257"/>
      <c r="AD48" s="257"/>
    </row>
    <row r="49" spans="1:30">
      <c r="A49" s="217" t="s">
        <v>278</v>
      </c>
      <c r="B49" s="263" t="s">
        <v>434</v>
      </c>
      <c r="C49" s="194">
        <v>0.1055</v>
      </c>
      <c r="D49" s="348" t="s">
        <v>450</v>
      </c>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257"/>
    </row>
    <row r="50" spans="1:30">
      <c r="A50" s="217" t="s">
        <v>278</v>
      </c>
      <c r="B50" s="263" t="s">
        <v>436</v>
      </c>
      <c r="C50" s="194">
        <v>29.3</v>
      </c>
      <c r="D50" s="348" t="s">
        <v>451</v>
      </c>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257"/>
    </row>
    <row r="51" spans="1:30" ht="13.5" thickBot="1">
      <c r="A51" s="14"/>
      <c r="B51" s="195"/>
      <c r="C51" s="195"/>
      <c r="D51" s="195"/>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row>
    <row r="52" spans="1:30" ht="13.5" thickBot="1">
      <c r="A52" s="1273" t="s">
        <v>157</v>
      </c>
      <c r="B52" s="1274"/>
      <c r="C52" s="1274"/>
      <c r="D52" s="1275"/>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257"/>
    </row>
    <row r="53" spans="1:30">
      <c r="A53" s="382" t="s">
        <v>269</v>
      </c>
      <c r="B53" s="380" t="s">
        <v>270</v>
      </c>
      <c r="C53" s="380" t="s">
        <v>271</v>
      </c>
      <c r="D53" s="381" t="s">
        <v>169</v>
      </c>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row>
    <row r="54" spans="1:30">
      <c r="A54" s="348" t="s">
        <v>452</v>
      </c>
      <c r="B54" s="348" t="s">
        <v>455</v>
      </c>
      <c r="C54" s="194">
        <v>1.609</v>
      </c>
      <c r="D54" s="263" t="s">
        <v>457</v>
      </c>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257"/>
    </row>
    <row r="55" spans="1:30">
      <c r="A55" s="348" t="s">
        <v>453</v>
      </c>
      <c r="B55" s="348" t="s">
        <v>454</v>
      </c>
      <c r="C55" s="194">
        <v>1.1499999999999999</v>
      </c>
      <c r="D55" s="263" t="s">
        <v>458</v>
      </c>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257"/>
    </row>
    <row r="56" spans="1:30">
      <c r="A56" s="348" t="s">
        <v>456</v>
      </c>
      <c r="B56" s="348" t="s">
        <v>454</v>
      </c>
      <c r="C56" s="194">
        <f>ROUND(1/C54,3)</f>
        <v>0.622</v>
      </c>
      <c r="D56" s="263" t="s">
        <v>459</v>
      </c>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257"/>
    </row>
    <row r="57" spans="1:30" ht="13.5" thickBot="1">
      <c r="A57" s="14"/>
      <c r="B57" s="14"/>
      <c r="C57" s="195"/>
      <c r="D57" s="195"/>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257"/>
    </row>
    <row r="58" spans="1:30" ht="13.5" thickBot="1">
      <c r="A58" s="383" t="s">
        <v>158</v>
      </c>
      <c r="B58" s="384"/>
      <c r="C58" s="195"/>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257"/>
    </row>
    <row r="59" spans="1:30">
      <c r="A59" s="216" t="s">
        <v>159</v>
      </c>
      <c r="B59" s="237">
        <v>1000</v>
      </c>
      <c r="C59" s="195"/>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row>
    <row r="60" spans="1:30">
      <c r="A60" s="217" t="s">
        <v>160</v>
      </c>
      <c r="B60" s="236">
        <v>1000000</v>
      </c>
      <c r="C60" s="195"/>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257"/>
    </row>
    <row r="61" spans="1:30">
      <c r="A61" s="217" t="s">
        <v>161</v>
      </c>
      <c r="B61" s="236">
        <v>1000000000</v>
      </c>
      <c r="C61" s="195"/>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257"/>
    </row>
    <row r="62" spans="1:30">
      <c r="A62" s="217" t="s">
        <v>162</v>
      </c>
      <c r="B62" s="236">
        <v>1000000000000</v>
      </c>
      <c r="C62" s="195"/>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257"/>
    </row>
    <row r="63" spans="1:30">
      <c r="A63" s="217" t="s">
        <v>255</v>
      </c>
      <c r="B63" s="217">
        <v>12</v>
      </c>
      <c r="C63" s="195"/>
      <c r="D63" s="257"/>
      <c r="E63" s="257"/>
      <c r="F63" s="257"/>
      <c r="G63" s="257"/>
      <c r="H63" s="257"/>
      <c r="I63" s="257"/>
      <c r="J63" s="257"/>
      <c r="K63" s="257"/>
      <c r="L63" s="257"/>
      <c r="M63" s="257"/>
      <c r="N63" s="257"/>
      <c r="O63" s="257"/>
      <c r="P63" s="257"/>
      <c r="Q63" s="257"/>
      <c r="R63" s="257"/>
      <c r="S63" s="257"/>
      <c r="T63" s="257"/>
      <c r="U63" s="257"/>
      <c r="V63" s="257"/>
      <c r="W63" s="257"/>
      <c r="X63" s="257"/>
      <c r="Y63" s="257"/>
      <c r="Z63" s="257"/>
      <c r="AA63" s="257"/>
      <c r="AB63" s="257"/>
      <c r="AC63" s="257"/>
      <c r="AD63" s="257"/>
    </row>
    <row r="64" spans="1:30" ht="15.75">
      <c r="A64" s="217" t="s">
        <v>256</v>
      </c>
      <c r="B64" s="217">
        <v>44</v>
      </c>
      <c r="C64" s="195"/>
      <c r="D64" s="257"/>
      <c r="E64" s="257"/>
      <c r="F64" s="257"/>
      <c r="G64" s="257"/>
      <c r="H64" s="257"/>
      <c r="I64" s="257"/>
      <c r="J64" s="257"/>
      <c r="K64" s="257"/>
      <c r="L64" s="257"/>
      <c r="M64" s="257"/>
      <c r="N64" s="257"/>
      <c r="O64" s="257"/>
      <c r="P64" s="257"/>
      <c r="Q64" s="257"/>
      <c r="R64" s="257"/>
      <c r="S64" s="257"/>
      <c r="T64" s="257"/>
      <c r="U64" s="257"/>
      <c r="V64" s="257"/>
      <c r="W64" s="257"/>
      <c r="X64" s="257"/>
      <c r="Y64" s="257"/>
      <c r="Z64" s="257"/>
      <c r="AA64" s="257"/>
      <c r="AB64" s="257"/>
      <c r="AC64" s="257"/>
      <c r="AD64" s="257"/>
    </row>
    <row r="65" spans="1:30">
      <c r="A65" s="14"/>
      <c r="B65" s="14"/>
      <c r="C65" s="14"/>
      <c r="D65" s="257"/>
      <c r="E65" s="257"/>
      <c r="F65" s="257"/>
      <c r="G65" s="257"/>
      <c r="H65" s="257"/>
      <c r="I65" s="257"/>
      <c r="J65" s="257"/>
      <c r="K65" s="257"/>
      <c r="L65" s="257"/>
      <c r="M65" s="257"/>
      <c r="N65" s="257"/>
      <c r="O65" s="257"/>
      <c r="P65" s="257"/>
      <c r="Q65" s="257"/>
      <c r="R65" s="257"/>
      <c r="S65" s="257"/>
      <c r="T65" s="257"/>
      <c r="U65" s="257"/>
      <c r="V65" s="257"/>
      <c r="W65" s="257"/>
      <c r="X65" s="257"/>
      <c r="Y65" s="257"/>
      <c r="Z65" s="257"/>
      <c r="AA65" s="257"/>
      <c r="AB65" s="257"/>
      <c r="AC65" s="257"/>
      <c r="AD65" s="257"/>
    </row>
    <row r="66" spans="1:30">
      <c r="A66" s="257"/>
      <c r="B66" s="257"/>
      <c r="C66" s="257"/>
      <c r="D66" s="257"/>
      <c r="E66" s="257"/>
      <c r="F66" s="257"/>
      <c r="G66" s="257"/>
      <c r="H66" s="257"/>
      <c r="I66" s="257"/>
      <c r="J66" s="257"/>
      <c r="K66" s="257"/>
      <c r="L66" s="257"/>
      <c r="M66" s="257"/>
      <c r="N66" s="257"/>
      <c r="O66" s="257"/>
      <c r="P66" s="257"/>
      <c r="Q66" s="257"/>
      <c r="R66" s="257"/>
      <c r="S66" s="257"/>
      <c r="T66" s="257"/>
      <c r="U66" s="257"/>
      <c r="V66" s="257"/>
      <c r="W66" s="257"/>
      <c r="X66" s="257"/>
      <c r="Y66" s="257"/>
      <c r="Z66" s="257"/>
      <c r="AA66" s="257"/>
      <c r="AB66" s="257"/>
      <c r="AC66" s="257"/>
      <c r="AD66" s="257"/>
    </row>
    <row r="67" spans="1:30">
      <c r="A67" s="257"/>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257"/>
    </row>
    <row r="68" spans="1:30">
      <c r="A68" s="257"/>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257"/>
    </row>
    <row r="69" spans="1:30">
      <c r="A69" s="257"/>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257"/>
    </row>
    <row r="70" spans="1:30">
      <c r="A70" s="257"/>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257"/>
    </row>
    <row r="71" spans="1:30">
      <c r="A71" s="257"/>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257"/>
    </row>
    <row r="72" spans="1:30">
      <c r="A72" s="257"/>
      <c r="B72" s="257"/>
      <c r="C72" s="257"/>
      <c r="D72" s="257"/>
      <c r="E72" s="257"/>
      <c r="F72" s="257"/>
      <c r="G72" s="257"/>
      <c r="H72" s="257"/>
      <c r="I72" s="257"/>
      <c r="J72" s="257"/>
      <c r="K72" s="257"/>
      <c r="L72" s="257"/>
      <c r="M72" s="257"/>
      <c r="N72" s="257"/>
      <c r="O72" s="257"/>
      <c r="P72" s="257"/>
      <c r="Q72" s="257"/>
      <c r="R72" s="257"/>
      <c r="S72" s="257"/>
      <c r="T72" s="257"/>
      <c r="U72" s="257"/>
      <c r="V72" s="257"/>
      <c r="W72" s="257"/>
      <c r="X72" s="257"/>
      <c r="Y72" s="257"/>
      <c r="Z72" s="257"/>
      <c r="AA72" s="257"/>
      <c r="AB72" s="257"/>
      <c r="AC72" s="257"/>
      <c r="AD72" s="257"/>
    </row>
    <row r="73" spans="1:30">
      <c r="A73" s="257"/>
      <c r="B73" s="257"/>
      <c r="C73" s="257"/>
      <c r="D73" s="257"/>
      <c r="E73" s="257"/>
      <c r="F73" s="257"/>
      <c r="G73" s="257"/>
      <c r="H73" s="257"/>
      <c r="I73" s="257"/>
      <c r="J73" s="257"/>
      <c r="K73" s="257"/>
      <c r="L73" s="257"/>
      <c r="M73" s="257"/>
      <c r="N73" s="257"/>
      <c r="O73" s="257"/>
      <c r="P73" s="257"/>
      <c r="Q73" s="257"/>
      <c r="R73" s="257"/>
      <c r="S73" s="257"/>
      <c r="T73" s="257"/>
      <c r="U73" s="257"/>
      <c r="V73" s="257"/>
      <c r="W73" s="257"/>
      <c r="X73" s="257"/>
      <c r="Y73" s="257"/>
      <c r="Z73" s="257"/>
      <c r="AA73" s="257"/>
      <c r="AB73" s="257"/>
      <c r="AC73" s="257"/>
      <c r="AD73" s="257"/>
    </row>
    <row r="74" spans="1:30">
      <c r="A74" s="257"/>
      <c r="B74" s="257"/>
      <c r="C74" s="257"/>
      <c r="D74" s="257"/>
      <c r="E74" s="257"/>
      <c r="F74" s="257"/>
      <c r="G74" s="257"/>
      <c r="H74" s="257"/>
      <c r="I74" s="257"/>
      <c r="J74" s="257"/>
      <c r="K74" s="257"/>
      <c r="L74" s="257"/>
      <c r="M74" s="257"/>
      <c r="N74" s="257"/>
      <c r="O74" s="257"/>
      <c r="P74" s="257"/>
      <c r="Q74" s="257"/>
      <c r="R74" s="257"/>
      <c r="S74" s="257"/>
      <c r="T74" s="257"/>
      <c r="U74" s="257"/>
      <c r="V74" s="257"/>
      <c r="W74" s="257"/>
      <c r="X74" s="257"/>
      <c r="Y74" s="257"/>
      <c r="Z74" s="257"/>
      <c r="AA74" s="257"/>
      <c r="AB74" s="257"/>
      <c r="AC74" s="257"/>
      <c r="AD74" s="257"/>
    </row>
    <row r="75" spans="1:30">
      <c r="A75" s="257"/>
      <c r="B75" s="257"/>
      <c r="C75" s="257"/>
      <c r="D75" s="257"/>
      <c r="E75" s="257"/>
      <c r="F75" s="257"/>
      <c r="G75" s="257"/>
      <c r="H75" s="257"/>
      <c r="I75" s="257"/>
      <c r="J75" s="257"/>
      <c r="K75" s="257"/>
      <c r="L75" s="257"/>
      <c r="M75" s="257"/>
      <c r="N75" s="257"/>
      <c r="O75" s="257"/>
      <c r="P75" s="257"/>
      <c r="Q75" s="257"/>
      <c r="R75" s="257"/>
      <c r="S75" s="257"/>
      <c r="T75" s="257"/>
      <c r="U75" s="257"/>
      <c r="V75" s="257"/>
      <c r="W75" s="257"/>
      <c r="X75" s="257"/>
      <c r="Y75" s="257"/>
      <c r="Z75" s="257"/>
      <c r="AA75" s="257"/>
      <c r="AB75" s="257"/>
      <c r="AC75" s="257"/>
      <c r="AD75" s="257"/>
    </row>
    <row r="76" spans="1:30">
      <c r="A76" s="257"/>
      <c r="B76" s="257"/>
      <c r="C76" s="257"/>
      <c r="D76" s="257"/>
      <c r="E76" s="257"/>
      <c r="F76" s="257"/>
      <c r="G76" s="257"/>
      <c r="H76" s="257"/>
      <c r="I76" s="257"/>
      <c r="J76" s="257"/>
      <c r="K76" s="257"/>
      <c r="L76" s="257"/>
      <c r="M76" s="257"/>
      <c r="N76" s="257"/>
      <c r="O76" s="257"/>
      <c r="P76" s="257"/>
      <c r="Q76" s="257"/>
      <c r="R76" s="257"/>
      <c r="S76" s="257"/>
      <c r="T76" s="257"/>
      <c r="U76" s="257"/>
      <c r="V76" s="257"/>
      <c r="W76" s="257"/>
      <c r="X76" s="257"/>
      <c r="Y76" s="257"/>
      <c r="Z76" s="257"/>
      <c r="AA76" s="257"/>
      <c r="AB76" s="257"/>
      <c r="AC76" s="257"/>
      <c r="AD76" s="257"/>
    </row>
    <row r="77" spans="1:30">
      <c r="A77" s="257"/>
      <c r="B77" s="257"/>
      <c r="C77" s="257"/>
      <c r="D77" s="257"/>
      <c r="E77" s="257"/>
      <c r="F77" s="257"/>
      <c r="G77" s="257"/>
      <c r="H77" s="257"/>
      <c r="I77" s="257"/>
      <c r="J77" s="257"/>
      <c r="K77" s="257"/>
      <c r="L77" s="257"/>
      <c r="M77" s="257"/>
      <c r="N77" s="257"/>
      <c r="O77" s="257"/>
      <c r="P77" s="257"/>
      <c r="Q77" s="257"/>
      <c r="R77" s="257"/>
      <c r="S77" s="257"/>
      <c r="T77" s="257"/>
      <c r="U77" s="257"/>
      <c r="V77" s="257"/>
      <c r="W77" s="257"/>
      <c r="X77" s="257"/>
      <c r="Y77" s="257"/>
      <c r="Z77" s="257"/>
      <c r="AA77" s="257"/>
      <c r="AB77" s="257"/>
      <c r="AC77" s="257"/>
      <c r="AD77" s="257"/>
    </row>
    <row r="78" spans="1:30">
      <c r="A78" s="257"/>
      <c r="B78" s="257"/>
      <c r="C78" s="257"/>
      <c r="D78" s="257"/>
      <c r="E78" s="257"/>
      <c r="F78" s="257"/>
      <c r="G78" s="257"/>
      <c r="H78" s="257"/>
      <c r="I78" s="257"/>
      <c r="J78" s="257"/>
      <c r="K78" s="257"/>
      <c r="L78" s="257"/>
      <c r="M78" s="257"/>
      <c r="N78" s="257"/>
      <c r="O78" s="257"/>
      <c r="P78" s="257"/>
      <c r="Q78" s="257"/>
      <c r="R78" s="257"/>
      <c r="S78" s="257"/>
      <c r="T78" s="257"/>
      <c r="U78" s="257"/>
      <c r="V78" s="257"/>
      <c r="W78" s="257"/>
      <c r="X78" s="257"/>
      <c r="Y78" s="257"/>
      <c r="Z78" s="257"/>
      <c r="AA78" s="257"/>
      <c r="AB78" s="257"/>
      <c r="AC78" s="257"/>
      <c r="AD78" s="257"/>
    </row>
    <row r="79" spans="1:30">
      <c r="A79" s="257"/>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row>
    <row r="80" spans="1:30">
      <c r="A80" s="257"/>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row>
    <row r="81" spans="1:30">
      <c r="A81" s="257"/>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257"/>
    </row>
    <row r="82" spans="1:30">
      <c r="A82" s="257"/>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row>
    <row r="83" spans="1:30">
      <c r="A83" s="257"/>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257"/>
    </row>
    <row r="84" spans="1:30">
      <c r="A84" s="257"/>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257"/>
    </row>
    <row r="85" spans="1:30">
      <c r="A85" s="257"/>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257"/>
    </row>
    <row r="86" spans="1:30">
      <c r="A86" s="257"/>
      <c r="B86" s="257"/>
      <c r="C86" s="257"/>
      <c r="D86" s="257"/>
      <c r="E86" s="257"/>
      <c r="F86" s="257"/>
      <c r="G86" s="257"/>
      <c r="H86" s="257"/>
      <c r="I86" s="257"/>
      <c r="J86" s="257"/>
      <c r="K86" s="257"/>
      <c r="L86" s="257"/>
      <c r="M86" s="257"/>
      <c r="N86" s="257"/>
      <c r="O86" s="257"/>
      <c r="P86" s="257"/>
      <c r="Q86" s="257"/>
      <c r="R86" s="257"/>
      <c r="S86" s="257"/>
      <c r="T86" s="257"/>
      <c r="U86" s="257"/>
      <c r="V86" s="257"/>
      <c r="W86" s="257"/>
      <c r="X86" s="257"/>
      <c r="Y86" s="257"/>
      <c r="Z86" s="257"/>
      <c r="AA86" s="257"/>
      <c r="AB86" s="257"/>
      <c r="AC86" s="257"/>
      <c r="AD86" s="257"/>
    </row>
    <row r="87" spans="1:30">
      <c r="A87" s="257"/>
      <c r="B87" s="257"/>
      <c r="C87" s="257"/>
      <c r="D87" s="257"/>
      <c r="E87" s="257"/>
      <c r="F87" s="257"/>
      <c r="G87" s="257"/>
      <c r="H87" s="257"/>
      <c r="I87" s="257"/>
      <c r="J87" s="257"/>
      <c r="K87" s="257"/>
      <c r="L87" s="257"/>
      <c r="M87" s="257"/>
      <c r="N87" s="257"/>
      <c r="O87" s="257"/>
      <c r="P87" s="257"/>
      <c r="Q87" s="257"/>
      <c r="R87" s="257"/>
      <c r="S87" s="257"/>
      <c r="T87" s="257"/>
      <c r="U87" s="257"/>
      <c r="V87" s="257"/>
      <c r="W87" s="257"/>
      <c r="X87" s="257"/>
      <c r="Y87" s="257"/>
      <c r="Z87" s="257"/>
      <c r="AA87" s="257"/>
      <c r="AB87" s="257"/>
      <c r="AC87" s="257"/>
      <c r="AD87" s="257"/>
    </row>
    <row r="88" spans="1:30">
      <c r="A88" s="257"/>
      <c r="B88" s="257"/>
      <c r="C88" s="257"/>
      <c r="D88" s="257"/>
      <c r="E88" s="257"/>
      <c r="F88" s="257"/>
      <c r="G88" s="257"/>
      <c r="H88" s="257"/>
      <c r="I88" s="257"/>
      <c r="J88" s="257"/>
      <c r="K88" s="257"/>
      <c r="L88" s="257"/>
      <c r="M88" s="257"/>
      <c r="N88" s="257"/>
      <c r="O88" s="257"/>
      <c r="P88" s="257"/>
      <c r="Q88" s="257"/>
      <c r="R88" s="257"/>
      <c r="S88" s="257"/>
      <c r="T88" s="257"/>
      <c r="U88" s="257"/>
      <c r="V88" s="257"/>
      <c r="W88" s="257"/>
      <c r="X88" s="257"/>
      <c r="Y88" s="257"/>
      <c r="Z88" s="257"/>
      <c r="AA88" s="257"/>
      <c r="AB88" s="257"/>
      <c r="AC88" s="257"/>
      <c r="AD88" s="257"/>
    </row>
    <row r="89" spans="1:30">
      <c r="A89" s="257"/>
      <c r="B89" s="257"/>
      <c r="C89" s="257"/>
      <c r="D89" s="257"/>
      <c r="E89" s="257"/>
      <c r="F89" s="257"/>
      <c r="G89" s="257"/>
      <c r="H89" s="257"/>
      <c r="I89" s="257"/>
      <c r="J89" s="257"/>
      <c r="K89" s="257"/>
      <c r="L89" s="257"/>
      <c r="M89" s="257"/>
      <c r="N89" s="257"/>
      <c r="O89" s="257"/>
      <c r="P89" s="257"/>
      <c r="Q89" s="257"/>
      <c r="R89" s="257"/>
      <c r="S89" s="257"/>
      <c r="T89" s="257"/>
      <c r="U89" s="257"/>
      <c r="V89" s="257"/>
      <c r="W89" s="257"/>
      <c r="X89" s="257"/>
      <c r="Y89" s="257"/>
      <c r="Z89" s="257"/>
      <c r="AA89" s="257"/>
      <c r="AB89" s="257"/>
      <c r="AC89" s="257"/>
      <c r="AD89" s="257"/>
    </row>
    <row r="90" spans="1:30">
      <c r="A90" s="257"/>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row>
    <row r="91" spans="1:30">
      <c r="A91" s="257"/>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257"/>
    </row>
    <row r="92" spans="1:30">
      <c r="A92" s="257"/>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257"/>
    </row>
    <row r="93" spans="1:30">
      <c r="A93" s="257"/>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257"/>
    </row>
    <row r="94" spans="1:30">
      <c r="A94" s="257"/>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257"/>
    </row>
    <row r="95" spans="1:30">
      <c r="A95" s="257"/>
      <c r="B95" s="257"/>
      <c r="C95" s="257"/>
      <c r="D95" s="257"/>
      <c r="E95" s="257"/>
      <c r="F95" s="257"/>
      <c r="G95" s="257"/>
      <c r="H95" s="257"/>
      <c r="I95" s="257"/>
      <c r="J95" s="257"/>
      <c r="K95" s="257"/>
      <c r="L95" s="257"/>
      <c r="M95" s="257"/>
      <c r="N95" s="257"/>
      <c r="O95" s="257"/>
      <c r="P95" s="257"/>
      <c r="Q95" s="257"/>
      <c r="R95" s="257"/>
      <c r="S95" s="257"/>
      <c r="T95" s="257"/>
      <c r="U95" s="257"/>
      <c r="V95" s="257"/>
      <c r="W95" s="257"/>
      <c r="X95" s="257"/>
      <c r="Y95" s="257"/>
      <c r="Z95" s="257"/>
      <c r="AA95" s="257"/>
      <c r="AB95" s="257"/>
      <c r="AC95" s="257"/>
      <c r="AD95" s="257"/>
    </row>
    <row r="96" spans="1:30">
      <c r="A96" s="257"/>
      <c r="B96" s="257"/>
      <c r="C96" s="257"/>
      <c r="D96" s="257"/>
      <c r="E96" s="257"/>
      <c r="F96" s="257"/>
      <c r="G96" s="257"/>
      <c r="H96" s="257"/>
      <c r="I96" s="257"/>
      <c r="J96" s="257"/>
      <c r="K96" s="257"/>
      <c r="L96" s="257"/>
      <c r="M96" s="257"/>
      <c r="N96" s="257"/>
      <c r="O96" s="257"/>
      <c r="P96" s="257"/>
      <c r="Q96" s="257"/>
      <c r="R96" s="257"/>
      <c r="S96" s="257"/>
      <c r="T96" s="257"/>
      <c r="U96" s="257"/>
      <c r="V96" s="257"/>
      <c r="W96" s="257"/>
      <c r="X96" s="257"/>
      <c r="Y96" s="257"/>
      <c r="Z96" s="257"/>
      <c r="AA96" s="257"/>
      <c r="AB96" s="257"/>
      <c r="AC96" s="257"/>
      <c r="AD96" s="257"/>
    </row>
    <row r="97" spans="1:30">
      <c r="A97" s="257"/>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row>
    <row r="98" spans="1:30">
      <c r="A98" s="257"/>
      <c r="B98" s="257"/>
      <c r="C98" s="257"/>
      <c r="D98" s="257"/>
      <c r="E98" s="257"/>
      <c r="F98" s="257"/>
      <c r="G98" s="257"/>
      <c r="H98" s="257"/>
      <c r="I98" s="257"/>
      <c r="J98" s="257"/>
      <c r="K98" s="257"/>
      <c r="L98" s="257"/>
      <c r="M98" s="257"/>
      <c r="N98" s="257"/>
      <c r="O98" s="257"/>
      <c r="P98" s="257"/>
      <c r="Q98" s="257"/>
      <c r="R98" s="257"/>
      <c r="S98" s="257"/>
      <c r="T98" s="257"/>
      <c r="U98" s="257"/>
      <c r="V98" s="257"/>
      <c r="W98" s="257"/>
      <c r="X98" s="257"/>
      <c r="Y98" s="257"/>
      <c r="Z98" s="257"/>
      <c r="AA98" s="257"/>
      <c r="AB98" s="257"/>
      <c r="AC98" s="257"/>
      <c r="AD98" s="257"/>
    </row>
    <row r="99" spans="1:30">
      <c r="A99" s="257"/>
      <c r="B99" s="257"/>
      <c r="C99" s="257"/>
      <c r="D99" s="257"/>
      <c r="E99" s="257"/>
      <c r="F99" s="257"/>
      <c r="G99" s="257"/>
      <c r="H99" s="257"/>
      <c r="I99" s="257"/>
      <c r="J99" s="257"/>
      <c r="K99" s="257"/>
      <c r="L99" s="257"/>
      <c r="M99" s="257"/>
      <c r="N99" s="257"/>
      <c r="O99" s="257"/>
      <c r="P99" s="257"/>
      <c r="Q99" s="257"/>
      <c r="R99" s="257"/>
      <c r="S99" s="257"/>
      <c r="T99" s="257"/>
      <c r="U99" s="257"/>
      <c r="V99" s="257"/>
      <c r="W99" s="257"/>
      <c r="X99" s="257"/>
      <c r="Y99" s="257"/>
      <c r="Z99" s="257"/>
      <c r="AA99" s="257"/>
      <c r="AB99" s="257"/>
      <c r="AC99" s="257"/>
      <c r="AD99" s="257"/>
    </row>
    <row r="100" spans="1:30">
      <c r="A100" s="257"/>
      <c r="B100" s="257"/>
      <c r="C100" s="257"/>
      <c r="D100" s="257"/>
      <c r="E100" s="257"/>
      <c r="F100" s="257"/>
      <c r="G100" s="257"/>
      <c r="H100" s="257"/>
      <c r="I100" s="257"/>
      <c r="J100" s="257"/>
      <c r="K100" s="257"/>
      <c r="L100" s="257"/>
      <c r="M100" s="257"/>
      <c r="N100" s="257"/>
      <c r="O100" s="257"/>
      <c r="P100" s="257"/>
      <c r="Q100" s="257"/>
      <c r="R100" s="257"/>
      <c r="S100" s="257"/>
      <c r="T100" s="257"/>
      <c r="U100" s="257"/>
      <c r="V100" s="257"/>
      <c r="W100" s="257"/>
      <c r="X100" s="257"/>
      <c r="Y100" s="257"/>
      <c r="Z100" s="257"/>
      <c r="AA100" s="257"/>
      <c r="AB100" s="257"/>
      <c r="AC100" s="257"/>
      <c r="AD100" s="257"/>
    </row>
    <row r="101" spans="1:30">
      <c r="A101" s="257"/>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row>
    <row r="102" spans="1:30">
      <c r="A102" s="257"/>
      <c r="B102" s="257"/>
      <c r="C102" s="257"/>
      <c r="D102" s="257"/>
      <c r="E102" s="257"/>
      <c r="F102" s="257"/>
      <c r="G102" s="257"/>
      <c r="H102" s="257"/>
      <c r="I102" s="257"/>
      <c r="J102" s="257"/>
      <c r="K102" s="257"/>
      <c r="L102" s="257"/>
      <c r="M102" s="257"/>
      <c r="N102" s="257"/>
      <c r="O102" s="257"/>
      <c r="P102" s="257"/>
      <c r="Q102" s="257"/>
      <c r="R102" s="257"/>
      <c r="S102" s="257"/>
      <c r="T102" s="257"/>
      <c r="U102" s="257"/>
      <c r="V102" s="257"/>
      <c r="W102" s="257"/>
      <c r="X102" s="257"/>
      <c r="Y102" s="257"/>
      <c r="Z102" s="257"/>
      <c r="AA102" s="257"/>
      <c r="AB102" s="257"/>
      <c r="AC102" s="257"/>
      <c r="AD102" s="257"/>
    </row>
    <row r="103" spans="1:30">
      <c r="A103" s="257"/>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257"/>
    </row>
    <row r="104" spans="1:30">
      <c r="A104" s="257"/>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257"/>
    </row>
    <row r="105" spans="1:30">
      <c r="A105" s="257"/>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257"/>
    </row>
    <row r="106" spans="1:30">
      <c r="A106" s="257"/>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row>
    <row r="107" spans="1:30">
      <c r="A107" s="257"/>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row>
    <row r="108" spans="1:30">
      <c r="A108" s="257"/>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257"/>
    </row>
    <row r="109" spans="1:30">
      <c r="A109" s="257"/>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257"/>
    </row>
    <row r="110" spans="1:30">
      <c r="A110" s="257"/>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257"/>
    </row>
    <row r="111" spans="1:30">
      <c r="A111" s="257"/>
      <c r="B111" s="257"/>
      <c r="C111" s="257"/>
      <c r="D111" s="257"/>
      <c r="E111" s="257"/>
      <c r="F111" s="257"/>
      <c r="G111" s="257"/>
      <c r="H111" s="257"/>
      <c r="I111" s="257"/>
      <c r="J111" s="257"/>
      <c r="K111" s="257"/>
      <c r="L111" s="257"/>
      <c r="M111" s="257"/>
      <c r="N111" s="257"/>
      <c r="O111" s="257"/>
      <c r="P111" s="257"/>
      <c r="Q111" s="257"/>
      <c r="R111" s="257"/>
      <c r="S111" s="257"/>
      <c r="T111" s="257"/>
      <c r="U111" s="257"/>
      <c r="V111" s="257"/>
      <c r="W111" s="257"/>
      <c r="X111" s="257"/>
      <c r="Y111" s="257"/>
      <c r="Z111" s="257"/>
      <c r="AA111" s="257"/>
      <c r="AB111" s="257"/>
      <c r="AC111" s="257"/>
      <c r="AD111" s="257"/>
    </row>
    <row r="112" spans="1:30">
      <c r="A112" s="257"/>
      <c r="B112" s="257"/>
      <c r="C112" s="257"/>
      <c r="D112" s="257"/>
      <c r="E112" s="257"/>
      <c r="F112" s="257"/>
      <c r="G112" s="257"/>
      <c r="H112" s="257"/>
      <c r="I112" s="257"/>
      <c r="J112" s="257"/>
      <c r="K112" s="257"/>
      <c r="L112" s="257"/>
      <c r="M112" s="257"/>
      <c r="N112" s="257"/>
      <c r="O112" s="257"/>
      <c r="P112" s="257"/>
      <c r="Q112" s="257"/>
      <c r="R112" s="257"/>
      <c r="S112" s="257"/>
      <c r="T112" s="257"/>
      <c r="U112" s="257"/>
      <c r="V112" s="257"/>
      <c r="W112" s="257"/>
      <c r="X112" s="257"/>
      <c r="Y112" s="257"/>
      <c r="Z112" s="257"/>
      <c r="AA112" s="257"/>
      <c r="AB112" s="257"/>
      <c r="AC112" s="257"/>
      <c r="AD112" s="257"/>
    </row>
    <row r="113" spans="1:30">
      <c r="A113" s="257"/>
      <c r="B113" s="257"/>
      <c r="C113" s="257"/>
      <c r="D113" s="257"/>
      <c r="E113" s="257"/>
      <c r="F113" s="257"/>
      <c r="G113" s="257"/>
      <c r="H113" s="257"/>
      <c r="I113" s="257"/>
      <c r="J113" s="257"/>
      <c r="K113" s="257"/>
      <c r="L113" s="257"/>
      <c r="M113" s="257"/>
      <c r="N113" s="257"/>
      <c r="O113" s="257"/>
      <c r="P113" s="257"/>
      <c r="Q113" s="257"/>
      <c r="R113" s="257"/>
      <c r="S113" s="257"/>
      <c r="T113" s="257"/>
      <c r="U113" s="257"/>
      <c r="V113" s="257"/>
      <c r="W113" s="257"/>
      <c r="X113" s="257"/>
      <c r="Y113" s="257"/>
      <c r="Z113" s="257"/>
      <c r="AA113" s="257"/>
      <c r="AB113" s="257"/>
      <c r="AC113" s="257"/>
      <c r="AD113" s="257"/>
    </row>
    <row r="114" spans="1:30">
      <c r="A114" s="257"/>
      <c r="B114" s="257"/>
      <c r="C114" s="257"/>
      <c r="D114" s="257"/>
      <c r="E114" s="257"/>
      <c r="F114" s="257"/>
      <c r="G114" s="257"/>
      <c r="H114" s="257"/>
      <c r="I114" s="257"/>
      <c r="J114" s="257"/>
      <c r="K114" s="257"/>
      <c r="L114" s="257"/>
      <c r="M114" s="257"/>
      <c r="N114" s="257"/>
      <c r="O114" s="257"/>
      <c r="P114" s="257"/>
      <c r="Q114" s="257"/>
      <c r="R114" s="257"/>
      <c r="S114" s="257"/>
      <c r="T114" s="257"/>
      <c r="U114" s="257"/>
      <c r="V114" s="257"/>
      <c r="W114" s="257"/>
      <c r="X114" s="257"/>
      <c r="Y114" s="257"/>
      <c r="Z114" s="257"/>
      <c r="AA114" s="257"/>
      <c r="AB114" s="257"/>
      <c r="AC114" s="257"/>
      <c r="AD114" s="257"/>
    </row>
    <row r="115" spans="1:30">
      <c r="A115" s="257"/>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257"/>
    </row>
    <row r="116" spans="1:30">
      <c r="A116" s="257"/>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257"/>
    </row>
    <row r="117" spans="1:30">
      <c r="A117" s="257"/>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257"/>
    </row>
    <row r="118" spans="1:30">
      <c r="A118" s="257"/>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257"/>
    </row>
    <row r="119" spans="1:30">
      <c r="A119" s="257"/>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257"/>
    </row>
    <row r="120" spans="1:30">
      <c r="A120" s="257"/>
      <c r="B120" s="257"/>
      <c r="C120" s="257"/>
      <c r="D120" s="257"/>
      <c r="E120" s="257"/>
      <c r="F120" s="257"/>
      <c r="G120" s="257"/>
      <c r="H120" s="257"/>
      <c r="I120" s="257"/>
      <c r="J120" s="257"/>
      <c r="K120" s="257"/>
      <c r="L120" s="257"/>
      <c r="M120" s="257"/>
      <c r="N120" s="257"/>
      <c r="O120" s="257"/>
      <c r="P120" s="257"/>
      <c r="Q120" s="257"/>
      <c r="R120" s="257"/>
      <c r="S120" s="257"/>
      <c r="T120" s="257"/>
      <c r="U120" s="257"/>
      <c r="V120" s="257"/>
      <c r="W120" s="257"/>
      <c r="X120" s="257"/>
      <c r="Y120" s="257"/>
      <c r="Z120" s="257"/>
      <c r="AA120" s="257"/>
      <c r="AB120" s="257"/>
      <c r="AC120" s="257"/>
      <c r="AD120" s="257"/>
    </row>
    <row r="121" spans="1:30">
      <c r="A121" s="257"/>
      <c r="B121" s="257"/>
      <c r="C121" s="257"/>
      <c r="D121" s="257"/>
      <c r="E121" s="257"/>
      <c r="F121" s="257"/>
      <c r="G121" s="257"/>
      <c r="H121" s="257"/>
      <c r="I121" s="257"/>
      <c r="J121" s="257"/>
      <c r="K121" s="257"/>
      <c r="L121" s="257"/>
      <c r="M121" s="257"/>
      <c r="N121" s="257"/>
      <c r="O121" s="257"/>
      <c r="P121" s="257"/>
      <c r="Q121" s="257"/>
      <c r="R121" s="257"/>
      <c r="S121" s="257"/>
      <c r="T121" s="257"/>
      <c r="U121" s="257"/>
      <c r="V121" s="257"/>
      <c r="W121" s="257"/>
      <c r="X121" s="257"/>
      <c r="Y121" s="257"/>
      <c r="Z121" s="257"/>
      <c r="AA121" s="257"/>
      <c r="AB121" s="257"/>
      <c r="AC121" s="257"/>
      <c r="AD121" s="257"/>
    </row>
    <row r="122" spans="1:30">
      <c r="A122" s="257"/>
      <c r="B122" s="257"/>
      <c r="C122" s="257"/>
      <c r="D122" s="257"/>
      <c r="E122" s="257"/>
      <c r="F122" s="257"/>
      <c r="G122" s="257"/>
      <c r="H122" s="257"/>
      <c r="I122" s="257"/>
      <c r="J122" s="257"/>
      <c r="K122" s="257"/>
      <c r="L122" s="257"/>
      <c r="M122" s="257"/>
      <c r="N122" s="257"/>
      <c r="O122" s="257"/>
      <c r="P122" s="257"/>
      <c r="Q122" s="257"/>
      <c r="R122" s="257"/>
      <c r="S122" s="257"/>
      <c r="T122" s="257"/>
      <c r="U122" s="257"/>
      <c r="V122" s="257"/>
      <c r="W122" s="257"/>
      <c r="X122" s="257"/>
      <c r="Y122" s="257"/>
      <c r="Z122" s="257"/>
      <c r="AA122" s="257"/>
      <c r="AB122" s="257"/>
      <c r="AC122" s="257"/>
      <c r="AD122" s="257"/>
    </row>
    <row r="123" spans="1:30">
      <c r="A123" s="257"/>
      <c r="B123" s="257"/>
      <c r="C123" s="257"/>
      <c r="D123" s="257"/>
      <c r="E123" s="257"/>
      <c r="F123" s="257"/>
      <c r="G123" s="257"/>
      <c r="H123" s="257"/>
      <c r="I123" s="257"/>
      <c r="J123" s="257"/>
      <c r="K123" s="257"/>
      <c r="L123" s="257"/>
      <c r="M123" s="257"/>
      <c r="N123" s="257"/>
      <c r="O123" s="257"/>
      <c r="P123" s="257"/>
      <c r="Q123" s="257"/>
      <c r="R123" s="257"/>
      <c r="S123" s="257"/>
      <c r="T123" s="257"/>
      <c r="U123" s="257"/>
      <c r="V123" s="257"/>
      <c r="W123" s="257"/>
      <c r="X123" s="257"/>
      <c r="Y123" s="257"/>
      <c r="Z123" s="257"/>
      <c r="AA123" s="257"/>
      <c r="AB123" s="257"/>
      <c r="AC123" s="257"/>
      <c r="AD123" s="257"/>
    </row>
    <row r="124" spans="1:30">
      <c r="A124" s="257"/>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row>
    <row r="125" spans="1:30">
      <c r="A125" s="257"/>
      <c r="B125" s="257"/>
      <c r="C125" s="257"/>
      <c r="D125" s="257"/>
      <c r="E125" s="257"/>
      <c r="F125" s="257"/>
      <c r="G125" s="257"/>
      <c r="H125" s="257"/>
      <c r="I125" s="257"/>
      <c r="J125" s="257"/>
      <c r="K125" s="257"/>
      <c r="L125" s="257"/>
      <c r="M125" s="257"/>
      <c r="N125" s="257"/>
      <c r="O125" s="257"/>
      <c r="P125" s="257"/>
      <c r="Q125" s="257"/>
      <c r="R125" s="257"/>
      <c r="S125" s="257"/>
      <c r="T125" s="257"/>
      <c r="U125" s="257"/>
      <c r="V125" s="257"/>
      <c r="W125" s="257"/>
      <c r="X125" s="257"/>
      <c r="Y125" s="257"/>
      <c r="Z125" s="257"/>
      <c r="AA125" s="257"/>
      <c r="AB125" s="257"/>
      <c r="AC125" s="257"/>
      <c r="AD125" s="257"/>
    </row>
    <row r="126" spans="1:30">
      <c r="A126" s="257"/>
      <c r="B126" s="257"/>
      <c r="C126" s="257"/>
      <c r="D126" s="257"/>
      <c r="E126" s="257"/>
      <c r="F126" s="257"/>
      <c r="G126" s="257"/>
      <c r="H126" s="257"/>
      <c r="I126" s="257"/>
      <c r="J126" s="257"/>
      <c r="K126" s="257"/>
      <c r="L126" s="257"/>
      <c r="M126" s="257"/>
      <c r="N126" s="257"/>
      <c r="O126" s="257"/>
      <c r="P126" s="257"/>
      <c r="Q126" s="257"/>
      <c r="R126" s="257"/>
      <c r="S126" s="257"/>
      <c r="T126" s="257"/>
      <c r="U126" s="257"/>
      <c r="V126" s="257"/>
      <c r="W126" s="257"/>
      <c r="X126" s="257"/>
      <c r="Y126" s="257"/>
      <c r="Z126" s="257"/>
      <c r="AA126" s="257"/>
      <c r="AB126" s="257"/>
      <c r="AC126" s="257"/>
      <c r="AD126" s="257"/>
    </row>
    <row r="127" spans="1:30">
      <c r="A127" s="257"/>
      <c r="B127" s="257"/>
      <c r="C127" s="257"/>
      <c r="D127" s="257"/>
      <c r="E127" s="257"/>
      <c r="F127" s="257"/>
      <c r="G127" s="257"/>
      <c r="H127" s="257"/>
      <c r="I127" s="257"/>
      <c r="J127" s="257"/>
      <c r="K127" s="257"/>
      <c r="L127" s="257"/>
      <c r="M127" s="257"/>
      <c r="N127" s="257"/>
      <c r="O127" s="257"/>
      <c r="P127" s="257"/>
      <c r="Q127" s="257"/>
      <c r="R127" s="257"/>
      <c r="S127" s="257"/>
      <c r="T127" s="257"/>
      <c r="U127" s="257"/>
      <c r="V127" s="257"/>
      <c r="W127" s="257"/>
      <c r="X127" s="257"/>
      <c r="Y127" s="257"/>
      <c r="Z127" s="257"/>
      <c r="AA127" s="257"/>
      <c r="AB127" s="257"/>
      <c r="AC127" s="257"/>
      <c r="AD127" s="257"/>
    </row>
    <row r="128" spans="1:30">
      <c r="A128" s="257"/>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257"/>
    </row>
    <row r="129" spans="1:30">
      <c r="A129" s="257"/>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257"/>
    </row>
    <row r="130" spans="1:30">
      <c r="A130" s="257"/>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257"/>
    </row>
    <row r="131" spans="1:30">
      <c r="A131" s="257"/>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257"/>
    </row>
    <row r="132" spans="1:30">
      <c r="A132" s="257"/>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row>
    <row r="133" spans="1:30">
      <c r="A133" s="257"/>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257"/>
    </row>
    <row r="134" spans="1:30">
      <c r="A134" s="257"/>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257"/>
    </row>
    <row r="135" spans="1:30">
      <c r="A135" s="257"/>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257"/>
    </row>
    <row r="136" spans="1:30">
      <c r="A136" s="257"/>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row>
    <row r="137" spans="1:30">
      <c r="A137" s="257"/>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257"/>
    </row>
    <row r="138" spans="1:30">
      <c r="A138" s="257"/>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257"/>
    </row>
    <row r="139" spans="1:30">
      <c r="A139" s="257"/>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257"/>
    </row>
    <row r="140" spans="1:30">
      <c r="A140" s="257"/>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257"/>
    </row>
    <row r="141" spans="1:30">
      <c r="A141" s="257"/>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257"/>
    </row>
    <row r="142" spans="1:30">
      <c r="A142" s="257"/>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257"/>
    </row>
    <row r="143" spans="1:30">
      <c r="A143" s="257"/>
      <c r="B143" s="257"/>
      <c r="C143" s="257"/>
      <c r="D143" s="257"/>
      <c r="E143" s="257"/>
      <c r="F143" s="257"/>
      <c r="G143" s="257"/>
      <c r="H143" s="257"/>
      <c r="I143" s="257"/>
      <c r="J143" s="257"/>
      <c r="K143" s="257"/>
      <c r="L143" s="257"/>
      <c r="M143" s="257"/>
      <c r="N143" s="257"/>
      <c r="O143" s="257"/>
      <c r="P143" s="257"/>
      <c r="Q143" s="257"/>
      <c r="R143" s="257"/>
      <c r="S143" s="257"/>
      <c r="T143" s="257"/>
      <c r="U143" s="257"/>
      <c r="V143" s="257"/>
      <c r="W143" s="257"/>
      <c r="X143" s="257"/>
      <c r="Y143" s="257"/>
      <c r="Z143" s="257"/>
      <c r="AA143" s="257"/>
      <c r="AB143" s="257"/>
      <c r="AC143" s="257"/>
      <c r="AD143" s="257"/>
    </row>
    <row r="144" spans="1:30">
      <c r="A144" s="257"/>
      <c r="B144" s="257"/>
      <c r="C144" s="257"/>
      <c r="D144" s="257"/>
      <c r="E144" s="257"/>
      <c r="F144" s="257"/>
      <c r="G144" s="257"/>
      <c r="H144" s="257"/>
      <c r="I144" s="257"/>
      <c r="J144" s="257"/>
      <c r="K144" s="257"/>
      <c r="L144" s="257"/>
      <c r="M144" s="257"/>
      <c r="N144" s="257"/>
      <c r="O144" s="257"/>
      <c r="P144" s="257"/>
      <c r="Q144" s="257"/>
      <c r="R144" s="257"/>
      <c r="S144" s="257"/>
      <c r="T144" s="257"/>
      <c r="U144" s="257"/>
      <c r="V144" s="257"/>
      <c r="W144" s="257"/>
      <c r="X144" s="257"/>
      <c r="Y144" s="257"/>
      <c r="Z144" s="257"/>
      <c r="AA144" s="257"/>
      <c r="AB144" s="257"/>
      <c r="AC144" s="257"/>
      <c r="AD144" s="257"/>
    </row>
    <row r="145" spans="1:30">
      <c r="A145" s="257"/>
      <c r="B145" s="257"/>
      <c r="C145" s="257"/>
      <c r="D145" s="257"/>
      <c r="E145" s="257"/>
      <c r="F145" s="257"/>
      <c r="G145" s="257"/>
      <c r="H145" s="257"/>
      <c r="I145" s="257"/>
      <c r="J145" s="257"/>
      <c r="K145" s="257"/>
      <c r="L145" s="257"/>
      <c r="M145" s="257"/>
      <c r="N145" s="257"/>
      <c r="O145" s="257"/>
      <c r="P145" s="257"/>
      <c r="Q145" s="257"/>
      <c r="R145" s="257"/>
      <c r="S145" s="257"/>
      <c r="T145" s="257"/>
      <c r="U145" s="257"/>
      <c r="V145" s="257"/>
      <c r="W145" s="257"/>
      <c r="X145" s="257"/>
      <c r="Y145" s="257"/>
      <c r="Z145" s="257"/>
      <c r="AA145" s="257"/>
      <c r="AB145" s="257"/>
      <c r="AC145" s="257"/>
      <c r="AD145" s="257"/>
    </row>
    <row r="146" spans="1:30">
      <c r="A146" s="257"/>
      <c r="B146" s="257"/>
      <c r="C146" s="257"/>
      <c r="D146" s="257"/>
      <c r="E146" s="257"/>
      <c r="F146" s="257"/>
      <c r="G146" s="257"/>
      <c r="H146" s="257"/>
      <c r="I146" s="257"/>
      <c r="J146" s="257"/>
      <c r="K146" s="257"/>
      <c r="L146" s="257"/>
      <c r="M146" s="257"/>
      <c r="N146" s="257"/>
      <c r="O146" s="257"/>
      <c r="P146" s="257"/>
      <c r="Q146" s="257"/>
      <c r="R146" s="257"/>
      <c r="S146" s="257"/>
      <c r="T146" s="257"/>
      <c r="U146" s="257"/>
      <c r="V146" s="257"/>
      <c r="W146" s="257"/>
      <c r="X146" s="257"/>
      <c r="Y146" s="257"/>
      <c r="Z146" s="257"/>
      <c r="AA146" s="257"/>
      <c r="AB146" s="257"/>
      <c r="AC146" s="257"/>
      <c r="AD146" s="257"/>
    </row>
    <row r="147" spans="1:30">
      <c r="A147" s="257"/>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257"/>
    </row>
    <row r="148" spans="1:30">
      <c r="A148" s="257"/>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257"/>
    </row>
    <row r="149" spans="1:30">
      <c r="A149" s="257"/>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257"/>
    </row>
    <row r="150" spans="1:30">
      <c r="A150" s="257"/>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257"/>
    </row>
    <row r="151" spans="1:30">
      <c r="A151" s="257"/>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257"/>
    </row>
    <row r="152" spans="1:30">
      <c r="A152" s="257"/>
      <c r="B152" s="257"/>
      <c r="C152" s="257"/>
      <c r="D152" s="257"/>
      <c r="E152" s="257"/>
      <c r="F152" s="257"/>
      <c r="G152" s="257"/>
      <c r="H152" s="257"/>
      <c r="I152" s="257"/>
      <c r="J152" s="257"/>
      <c r="K152" s="257"/>
      <c r="L152" s="257"/>
      <c r="M152" s="257"/>
      <c r="N152" s="257"/>
      <c r="O152" s="257"/>
      <c r="P152" s="257"/>
      <c r="Q152" s="257"/>
      <c r="R152" s="257"/>
      <c r="S152" s="257"/>
      <c r="T152" s="257"/>
      <c r="U152" s="257"/>
      <c r="V152" s="257"/>
      <c r="W152" s="257"/>
      <c r="X152" s="257"/>
      <c r="Y152" s="257"/>
      <c r="Z152" s="257"/>
      <c r="AA152" s="257"/>
      <c r="AB152" s="257"/>
      <c r="AC152" s="257"/>
      <c r="AD152" s="257"/>
    </row>
    <row r="153" spans="1:30">
      <c r="A153" s="257"/>
      <c r="B153" s="257"/>
      <c r="C153" s="257"/>
      <c r="D153" s="257"/>
      <c r="E153" s="257"/>
      <c r="F153" s="257"/>
      <c r="G153" s="257"/>
      <c r="H153" s="257"/>
      <c r="I153" s="257"/>
      <c r="J153" s="257"/>
      <c r="K153" s="257"/>
      <c r="L153" s="257"/>
      <c r="M153" s="257"/>
      <c r="N153" s="257"/>
      <c r="O153" s="257"/>
      <c r="P153" s="257"/>
      <c r="Q153" s="257"/>
      <c r="R153" s="257"/>
      <c r="S153" s="257"/>
      <c r="T153" s="257"/>
      <c r="U153" s="257"/>
      <c r="V153" s="257"/>
      <c r="W153" s="257"/>
      <c r="X153" s="257"/>
      <c r="Y153" s="257"/>
      <c r="Z153" s="257"/>
      <c r="AA153" s="257"/>
      <c r="AB153" s="257"/>
      <c r="AC153" s="257"/>
      <c r="AD153" s="257"/>
    </row>
    <row r="154" spans="1:30">
      <c r="A154" s="257"/>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row>
    <row r="155" spans="1:30">
      <c r="A155" s="257"/>
      <c r="B155" s="257"/>
      <c r="C155" s="257"/>
      <c r="D155" s="257"/>
      <c r="E155" s="257"/>
      <c r="F155" s="257"/>
      <c r="G155" s="257"/>
      <c r="H155" s="257"/>
      <c r="I155" s="257"/>
      <c r="J155" s="257"/>
      <c r="K155" s="257"/>
      <c r="L155" s="257"/>
      <c r="M155" s="257"/>
      <c r="N155" s="257"/>
      <c r="O155" s="257"/>
      <c r="P155" s="257"/>
      <c r="Q155" s="257"/>
      <c r="R155" s="257"/>
      <c r="S155" s="257"/>
      <c r="T155" s="257"/>
      <c r="U155" s="257"/>
      <c r="V155" s="257"/>
      <c r="W155" s="257"/>
      <c r="X155" s="257"/>
      <c r="Y155" s="257"/>
      <c r="Z155" s="257"/>
      <c r="AA155" s="257"/>
      <c r="AB155" s="257"/>
      <c r="AC155" s="257"/>
      <c r="AD155" s="257"/>
    </row>
    <row r="156" spans="1:30">
      <c r="A156" s="257"/>
      <c r="B156" s="257"/>
      <c r="C156" s="257"/>
      <c r="D156" s="257"/>
      <c r="E156" s="257"/>
      <c r="F156" s="257"/>
      <c r="G156" s="257"/>
      <c r="H156" s="257"/>
      <c r="I156" s="257"/>
      <c r="J156" s="257"/>
      <c r="K156" s="257"/>
      <c r="L156" s="257"/>
      <c r="M156" s="257"/>
      <c r="N156" s="257"/>
      <c r="O156" s="257"/>
      <c r="P156" s="257"/>
      <c r="Q156" s="257"/>
      <c r="R156" s="257"/>
      <c r="S156" s="257"/>
      <c r="T156" s="257"/>
      <c r="U156" s="257"/>
      <c r="V156" s="257"/>
      <c r="W156" s="257"/>
      <c r="X156" s="257"/>
      <c r="Y156" s="257"/>
      <c r="Z156" s="257"/>
      <c r="AA156" s="257"/>
      <c r="AB156" s="257"/>
      <c r="AC156" s="257"/>
      <c r="AD156" s="257"/>
    </row>
    <row r="157" spans="1:30">
      <c r="A157" s="257"/>
      <c r="B157" s="257"/>
      <c r="C157" s="257"/>
      <c r="D157" s="257"/>
      <c r="E157" s="257"/>
      <c r="F157" s="257"/>
      <c r="G157" s="257"/>
      <c r="H157" s="257"/>
      <c r="I157" s="257"/>
      <c r="J157" s="257"/>
      <c r="K157" s="257"/>
      <c r="L157" s="257"/>
      <c r="M157" s="257"/>
      <c r="N157" s="257"/>
      <c r="O157" s="257"/>
      <c r="P157" s="257"/>
      <c r="Q157" s="257"/>
      <c r="R157" s="257"/>
      <c r="S157" s="257"/>
      <c r="T157" s="257"/>
      <c r="U157" s="257"/>
      <c r="V157" s="257"/>
      <c r="W157" s="257"/>
      <c r="X157" s="257"/>
      <c r="Y157" s="257"/>
      <c r="Z157" s="257"/>
      <c r="AA157" s="257"/>
      <c r="AB157" s="257"/>
      <c r="AC157" s="257"/>
      <c r="AD157" s="257"/>
    </row>
    <row r="158" spans="1:30">
      <c r="A158" s="257"/>
      <c r="B158" s="257"/>
      <c r="C158" s="257"/>
      <c r="D158" s="257"/>
      <c r="E158" s="257"/>
      <c r="F158" s="257"/>
      <c r="G158" s="257"/>
      <c r="H158" s="257"/>
      <c r="I158" s="257"/>
      <c r="J158" s="257"/>
      <c r="K158" s="257"/>
      <c r="L158" s="257"/>
      <c r="M158" s="257"/>
      <c r="N158" s="257"/>
      <c r="O158" s="257"/>
      <c r="P158" s="257"/>
      <c r="Q158" s="257"/>
      <c r="R158" s="257"/>
      <c r="S158" s="257"/>
      <c r="T158" s="257"/>
      <c r="U158" s="257"/>
      <c r="V158" s="257"/>
      <c r="W158" s="257"/>
      <c r="X158" s="257"/>
      <c r="Y158" s="257"/>
      <c r="Z158" s="257"/>
      <c r="AA158" s="257"/>
      <c r="AB158" s="257"/>
      <c r="AC158" s="257"/>
      <c r="AD158" s="257"/>
    </row>
    <row r="159" spans="1:30">
      <c r="A159" s="257"/>
      <c r="B159" s="257"/>
      <c r="C159" s="257"/>
      <c r="D159" s="257"/>
      <c r="E159" s="257"/>
      <c r="F159" s="257"/>
      <c r="G159" s="257"/>
      <c r="H159" s="257"/>
      <c r="I159" s="257"/>
      <c r="J159" s="257"/>
      <c r="K159" s="257"/>
      <c r="L159" s="257"/>
      <c r="M159" s="257"/>
      <c r="N159" s="257"/>
      <c r="O159" s="257"/>
      <c r="P159" s="257"/>
      <c r="Q159" s="257"/>
      <c r="R159" s="257"/>
      <c r="S159" s="257"/>
      <c r="T159" s="257"/>
      <c r="U159" s="257"/>
      <c r="V159" s="257"/>
      <c r="W159" s="257"/>
      <c r="X159" s="257"/>
      <c r="Y159" s="257"/>
      <c r="Z159" s="257"/>
      <c r="AA159" s="257"/>
      <c r="AB159" s="257"/>
      <c r="AC159" s="257"/>
      <c r="AD159" s="257"/>
    </row>
    <row r="160" spans="1:30">
      <c r="A160" s="257"/>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257"/>
    </row>
    <row r="161" spans="1:30">
      <c r="A161" s="257"/>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257"/>
    </row>
    <row r="162" spans="1:30">
      <c r="A162" s="257"/>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row>
    <row r="163" spans="1:30">
      <c r="A163" s="257"/>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257"/>
    </row>
    <row r="164" spans="1:30">
      <c r="A164" s="257"/>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row>
    <row r="165" spans="1:30">
      <c r="A165" s="257"/>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257"/>
    </row>
    <row r="166" spans="1:30">
      <c r="A166" s="257"/>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257"/>
    </row>
    <row r="167" spans="1:30">
      <c r="A167" s="257"/>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257"/>
    </row>
    <row r="168" spans="1:30">
      <c r="A168" s="257"/>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257"/>
    </row>
    <row r="169" spans="1:30">
      <c r="A169" s="257"/>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257"/>
    </row>
    <row r="170" spans="1:30">
      <c r="A170" s="257"/>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257"/>
    </row>
    <row r="171" spans="1:30">
      <c r="A171" s="257"/>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257"/>
    </row>
    <row r="172" spans="1:30">
      <c r="A172" s="257"/>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257"/>
    </row>
    <row r="173" spans="1:30">
      <c r="A173" s="257"/>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257"/>
    </row>
    <row r="174" spans="1:30">
      <c r="A174" s="257"/>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row>
    <row r="175" spans="1:30">
      <c r="A175" s="257"/>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row>
    <row r="176" spans="1:30">
      <c r="A176" s="257"/>
      <c r="B176" s="257"/>
      <c r="C176" s="257"/>
      <c r="D176" s="257"/>
      <c r="E176" s="257"/>
      <c r="F176" s="257"/>
      <c r="G176" s="257"/>
      <c r="H176" s="257"/>
      <c r="I176" s="257"/>
      <c r="J176" s="257"/>
      <c r="K176" s="257"/>
      <c r="L176" s="257"/>
      <c r="M176" s="257"/>
      <c r="N176" s="257"/>
      <c r="O176" s="257"/>
      <c r="P176" s="257"/>
      <c r="Q176" s="257"/>
      <c r="R176" s="257"/>
      <c r="S176" s="257"/>
      <c r="T176" s="257"/>
      <c r="U176" s="257"/>
      <c r="V176" s="257"/>
      <c r="W176" s="257"/>
      <c r="X176" s="257"/>
      <c r="Y176" s="257"/>
      <c r="Z176" s="257"/>
      <c r="AA176" s="257"/>
      <c r="AB176" s="257"/>
      <c r="AC176" s="257"/>
      <c r="AD176" s="257"/>
    </row>
    <row r="177" spans="1:30">
      <c r="A177" s="257"/>
      <c r="B177" s="257"/>
      <c r="C177" s="257"/>
      <c r="D177" s="257"/>
      <c r="E177" s="257"/>
      <c r="F177" s="257"/>
      <c r="G177" s="257"/>
      <c r="H177" s="257"/>
      <c r="I177" s="257"/>
      <c r="J177" s="257"/>
      <c r="K177" s="257"/>
      <c r="L177" s="257"/>
      <c r="M177" s="257"/>
      <c r="N177" s="257"/>
      <c r="O177" s="257"/>
      <c r="P177" s="257"/>
      <c r="Q177" s="257"/>
      <c r="R177" s="257"/>
      <c r="S177" s="257"/>
      <c r="T177" s="257"/>
      <c r="U177" s="257"/>
      <c r="V177" s="257"/>
      <c r="W177" s="257"/>
      <c r="X177" s="257"/>
      <c r="Y177" s="257"/>
      <c r="Z177" s="257"/>
      <c r="AA177" s="257"/>
      <c r="AB177" s="257"/>
      <c r="AC177" s="257"/>
      <c r="AD177" s="257"/>
    </row>
    <row r="178" spans="1:30">
      <c r="A178" s="257"/>
      <c r="B178" s="257"/>
      <c r="C178" s="257"/>
      <c r="D178" s="257"/>
      <c r="E178" s="257"/>
      <c r="F178" s="257"/>
      <c r="G178" s="257"/>
      <c r="H178" s="257"/>
      <c r="I178" s="257"/>
      <c r="J178" s="257"/>
      <c r="K178" s="257"/>
      <c r="L178" s="257"/>
      <c r="M178" s="257"/>
      <c r="N178" s="257"/>
      <c r="O178" s="257"/>
      <c r="P178" s="257"/>
      <c r="Q178" s="257"/>
      <c r="R178" s="257"/>
      <c r="S178" s="257"/>
      <c r="T178" s="257"/>
      <c r="U178" s="257"/>
      <c r="V178" s="257"/>
      <c r="W178" s="257"/>
      <c r="X178" s="257"/>
      <c r="Y178" s="257"/>
      <c r="Z178" s="257"/>
      <c r="AA178" s="257"/>
      <c r="AB178" s="257"/>
      <c r="AC178" s="257"/>
      <c r="AD178" s="257"/>
    </row>
    <row r="179" spans="1:30">
      <c r="A179" s="257"/>
      <c r="B179" s="257"/>
      <c r="C179" s="257"/>
      <c r="D179" s="257"/>
      <c r="E179" s="257"/>
      <c r="F179" s="257"/>
      <c r="G179" s="257"/>
      <c r="H179" s="257"/>
      <c r="I179" s="257"/>
      <c r="J179" s="257"/>
      <c r="K179" s="257"/>
      <c r="L179" s="257"/>
      <c r="M179" s="257"/>
      <c r="N179" s="257"/>
      <c r="O179" s="257"/>
      <c r="P179" s="257"/>
      <c r="Q179" s="257"/>
      <c r="R179" s="257"/>
      <c r="S179" s="257"/>
      <c r="T179" s="257"/>
      <c r="U179" s="257"/>
      <c r="V179" s="257"/>
      <c r="W179" s="257"/>
      <c r="X179" s="257"/>
      <c r="Y179" s="257"/>
      <c r="Z179" s="257"/>
      <c r="AA179" s="257"/>
      <c r="AB179" s="257"/>
      <c r="AC179" s="257"/>
      <c r="AD179" s="257"/>
    </row>
    <row r="180" spans="1:30">
      <c r="A180" s="257"/>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257"/>
    </row>
    <row r="181" spans="1:30">
      <c r="A181" s="257"/>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257"/>
    </row>
    <row r="182" spans="1:30">
      <c r="A182" s="257"/>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257"/>
    </row>
    <row r="183" spans="1:30">
      <c r="A183" s="257"/>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257"/>
    </row>
    <row r="184" spans="1:30">
      <c r="A184" s="257"/>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257"/>
    </row>
    <row r="185" spans="1:30">
      <c r="A185" s="257"/>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row>
    <row r="186" spans="1:30">
      <c r="A186" s="257"/>
      <c r="B186" s="257"/>
      <c r="C186" s="257"/>
      <c r="D186" s="257"/>
      <c r="E186" s="257"/>
      <c r="F186" s="257"/>
      <c r="G186" s="257"/>
      <c r="H186" s="257"/>
      <c r="I186" s="257"/>
      <c r="J186" s="257"/>
      <c r="K186" s="257"/>
      <c r="L186" s="257"/>
      <c r="M186" s="257"/>
      <c r="N186" s="257"/>
      <c r="O186" s="257"/>
      <c r="P186" s="257"/>
      <c r="Q186" s="257"/>
      <c r="R186" s="257"/>
      <c r="S186" s="257"/>
      <c r="T186" s="257"/>
      <c r="U186" s="257"/>
      <c r="V186" s="257"/>
      <c r="W186" s="257"/>
      <c r="X186" s="257"/>
      <c r="Y186" s="257"/>
      <c r="Z186" s="257"/>
      <c r="AA186" s="257"/>
      <c r="AB186" s="257"/>
      <c r="AC186" s="257"/>
      <c r="AD186" s="257"/>
    </row>
    <row r="187" spans="1:30">
      <c r="A187" s="257"/>
      <c r="B187" s="257"/>
      <c r="C187" s="257"/>
      <c r="D187" s="257"/>
      <c r="E187" s="257"/>
      <c r="F187" s="257"/>
      <c r="G187" s="257"/>
      <c r="H187" s="257"/>
      <c r="I187" s="257"/>
      <c r="J187" s="257"/>
      <c r="K187" s="257"/>
      <c r="L187" s="257"/>
      <c r="M187" s="257"/>
      <c r="N187" s="257"/>
      <c r="O187" s="257"/>
      <c r="P187" s="257"/>
      <c r="Q187" s="257"/>
      <c r="R187" s="257"/>
      <c r="S187" s="257"/>
      <c r="T187" s="257"/>
      <c r="U187" s="257"/>
      <c r="V187" s="257"/>
      <c r="W187" s="257"/>
      <c r="X187" s="257"/>
      <c r="Y187" s="257"/>
      <c r="Z187" s="257"/>
      <c r="AA187" s="257"/>
      <c r="AB187" s="257"/>
      <c r="AC187" s="257"/>
      <c r="AD187" s="257"/>
    </row>
    <row r="188" spans="1:30">
      <c r="A188" s="257"/>
      <c r="B188" s="257"/>
      <c r="C188" s="257"/>
      <c r="D188" s="257"/>
      <c r="E188" s="257"/>
      <c r="F188" s="257"/>
      <c r="G188" s="257"/>
      <c r="H188" s="257"/>
      <c r="I188" s="257"/>
      <c r="J188" s="257"/>
      <c r="K188" s="257"/>
      <c r="L188" s="257"/>
      <c r="M188" s="257"/>
      <c r="N188" s="257"/>
      <c r="O188" s="257"/>
      <c r="P188" s="257"/>
      <c r="Q188" s="257"/>
      <c r="R188" s="257"/>
      <c r="S188" s="257"/>
      <c r="T188" s="257"/>
      <c r="U188" s="257"/>
      <c r="V188" s="257"/>
      <c r="W188" s="257"/>
      <c r="X188" s="257"/>
      <c r="Y188" s="257"/>
      <c r="Z188" s="257"/>
      <c r="AA188" s="257"/>
      <c r="AB188" s="257"/>
      <c r="AC188" s="257"/>
      <c r="AD188" s="257"/>
    </row>
    <row r="189" spans="1:30">
      <c r="A189" s="257"/>
      <c r="B189" s="257"/>
      <c r="C189" s="257"/>
      <c r="D189" s="257"/>
      <c r="E189" s="257"/>
      <c r="F189" s="257"/>
      <c r="G189" s="257"/>
      <c r="H189" s="257"/>
      <c r="I189" s="257"/>
      <c r="J189" s="257"/>
      <c r="K189" s="257"/>
      <c r="L189" s="257"/>
      <c r="M189" s="257"/>
      <c r="N189" s="257"/>
      <c r="O189" s="257"/>
      <c r="P189" s="257"/>
      <c r="Q189" s="257"/>
      <c r="R189" s="257"/>
      <c r="S189" s="257"/>
      <c r="T189" s="257"/>
      <c r="U189" s="257"/>
      <c r="V189" s="257"/>
      <c r="W189" s="257"/>
      <c r="X189" s="257"/>
      <c r="Y189" s="257"/>
      <c r="Z189" s="257"/>
      <c r="AA189" s="257"/>
      <c r="AB189" s="257"/>
      <c r="AC189" s="257"/>
      <c r="AD189" s="257"/>
    </row>
    <row r="190" spans="1:30">
      <c r="A190" s="257"/>
      <c r="B190" s="257"/>
      <c r="C190" s="257"/>
      <c r="D190" s="257"/>
      <c r="E190" s="257"/>
      <c r="F190" s="257"/>
      <c r="G190" s="257"/>
      <c r="H190" s="257"/>
      <c r="I190" s="257"/>
      <c r="J190" s="257"/>
      <c r="K190" s="257"/>
      <c r="L190" s="257"/>
      <c r="M190" s="257"/>
      <c r="N190" s="257"/>
      <c r="O190" s="257"/>
      <c r="P190" s="257"/>
      <c r="Q190" s="257"/>
      <c r="R190" s="257"/>
      <c r="S190" s="257"/>
      <c r="T190" s="257"/>
      <c r="U190" s="257"/>
      <c r="V190" s="257"/>
      <c r="W190" s="257"/>
      <c r="X190" s="257"/>
      <c r="Y190" s="257"/>
      <c r="Z190" s="257"/>
      <c r="AA190" s="257"/>
      <c r="AB190" s="257"/>
      <c r="AC190" s="257"/>
      <c r="AD190" s="257"/>
    </row>
    <row r="191" spans="1:30">
      <c r="A191" s="257"/>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row>
    <row r="192" spans="1:30">
      <c r="A192" s="257"/>
      <c r="B192" s="257"/>
      <c r="C192" s="257"/>
      <c r="D192" s="257"/>
      <c r="E192" s="257"/>
      <c r="F192" s="257"/>
      <c r="G192" s="257"/>
      <c r="H192" s="257"/>
      <c r="I192" s="257"/>
      <c r="J192" s="257"/>
      <c r="K192" s="257"/>
      <c r="L192" s="257"/>
      <c r="M192" s="257"/>
      <c r="N192" s="257"/>
      <c r="O192" s="257"/>
      <c r="P192" s="257"/>
      <c r="Q192" s="257"/>
      <c r="R192" s="257"/>
      <c r="S192" s="257"/>
      <c r="T192" s="257"/>
      <c r="U192" s="257"/>
      <c r="V192" s="257"/>
      <c r="W192" s="257"/>
      <c r="X192" s="257"/>
      <c r="Y192" s="257"/>
      <c r="Z192" s="257"/>
      <c r="AA192" s="257"/>
      <c r="AB192" s="257"/>
      <c r="AC192" s="257"/>
      <c r="AD192" s="257"/>
    </row>
    <row r="193" spans="1:30">
      <c r="A193" s="257"/>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257"/>
    </row>
    <row r="194" spans="1:30">
      <c r="A194" s="257"/>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257"/>
    </row>
    <row r="195" spans="1:30">
      <c r="A195" s="257"/>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257"/>
    </row>
    <row r="196" spans="1:30">
      <c r="A196" s="257"/>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257"/>
    </row>
    <row r="197" spans="1:30">
      <c r="A197" s="257"/>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257"/>
    </row>
    <row r="198" spans="1:30">
      <c r="A198" s="257"/>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257"/>
    </row>
    <row r="199" spans="1:30">
      <c r="A199" s="257"/>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257"/>
    </row>
    <row r="200" spans="1:30">
      <c r="A200" s="257"/>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257"/>
    </row>
    <row r="201" spans="1:30">
      <c r="A201" s="257"/>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257"/>
    </row>
    <row r="202" spans="1:30">
      <c r="A202" s="257"/>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257"/>
    </row>
  </sheetData>
  <sheetProtection sheet="1"/>
  <mergeCells count="4">
    <mergeCell ref="A6:D6"/>
    <mergeCell ref="A20:D20"/>
    <mergeCell ref="A38:D38"/>
    <mergeCell ref="A52:D52"/>
  </mergeCells>
  <phoneticPr fontId="12" type="noConversion"/>
  <pageMargins left="0.25" right="0.25" top="0.25" bottom="0.5" header="0.5" footer="0.25"/>
  <pageSetup orientation="portrait" r:id="rId1"/>
  <headerFooter alignWithMargins="0">
    <oddFooter>&amp;L&amp;"Arial,Italic"&amp;9EPA Climate Leaders Simplified GHG Emissions Calculator (Conversion Factors)&amp;R&amp;"Arial,Italic"&amp;9&amp;P of &amp;N</oddFooter>
  </headerFooter>
  <rowBreaks count="1" manualBreakCount="1">
    <brk id="57" max="16383" man="1"/>
  </rowBreaks>
  <drawing r:id="rId2"/>
  <legacyDrawing r:id="rId3"/>
  <controls>
    <mc:AlternateContent xmlns:mc="http://schemas.openxmlformats.org/markup-compatibility/2006">
      <mc:Choice Requires="x14">
        <control shapeId="10299" r:id="rId4" name="CommandButton1">
          <controlPr autoLine="0" r:id="rId5">
            <anchor>
              <from>
                <xdr:col>0</xdr:col>
                <xdr:colOff>714375</xdr:colOff>
                <xdr:row>0</xdr:row>
                <xdr:rowOff>142875</xdr:rowOff>
              </from>
              <to>
                <xdr:col>0</xdr:col>
                <xdr:colOff>1628775</xdr:colOff>
                <xdr:row>1</xdr:row>
                <xdr:rowOff>142875</xdr:rowOff>
              </to>
            </anchor>
          </controlPr>
        </control>
      </mc:Choice>
      <mc:Fallback>
        <control shapeId="10299" r:id="rId4" name="CommandButton1"/>
      </mc:Fallback>
    </mc:AlternateContent>
    <mc:AlternateContent xmlns:mc="http://schemas.openxmlformats.org/markup-compatibility/2006">
      <mc:Choice Requires="x14">
        <control shapeId="10300" r:id="rId6" name="CommandButton2">
          <controlPr autoLine="0" r:id="rId7">
            <anchor>
              <from>
                <xdr:col>0</xdr:col>
                <xdr:colOff>1828800</xdr:colOff>
                <xdr:row>0</xdr:row>
                <xdr:rowOff>133350</xdr:rowOff>
              </from>
              <to>
                <xdr:col>1</xdr:col>
                <xdr:colOff>1085850</xdr:colOff>
                <xdr:row>1</xdr:row>
                <xdr:rowOff>133350</xdr:rowOff>
              </to>
            </anchor>
          </controlPr>
        </control>
      </mc:Choice>
      <mc:Fallback>
        <control shapeId="10300" r:id="rId6" name="CommandButton2"/>
      </mc:Fallback>
    </mc:AlternateContent>
  </control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1:AD92"/>
  <sheetViews>
    <sheetView zoomScaleNormal="100" workbookViewId="0"/>
  </sheetViews>
  <sheetFormatPr defaultRowHeight="12.75"/>
  <cols>
    <col min="1" max="1" width="28.85546875" customWidth="1"/>
    <col min="2" max="2" width="23.140625" customWidth="1"/>
    <col min="3" max="3" width="10.85546875" bestFit="1" customWidth="1"/>
    <col min="4" max="4" width="16.28515625" bestFit="1" customWidth="1"/>
    <col min="5" max="5" width="16.140625" bestFit="1" customWidth="1"/>
    <col min="6" max="6" width="53.42578125"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256" t="s">
        <v>475</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257"/>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row>
    <row r="5" spans="1:30" ht="13.5" thickBot="1">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row>
    <row r="6" spans="1:30">
      <c r="A6" s="863" t="s">
        <v>171</v>
      </c>
      <c r="B6" s="864" t="s">
        <v>269</v>
      </c>
      <c r="C6" s="864" t="s">
        <v>270</v>
      </c>
      <c r="D6" s="864" t="s">
        <v>271</v>
      </c>
      <c r="E6" s="864" t="s">
        <v>169</v>
      </c>
      <c r="F6" s="865" t="s">
        <v>163</v>
      </c>
      <c r="G6" s="230"/>
      <c r="H6" s="230"/>
      <c r="I6" s="230"/>
      <c r="J6" s="230"/>
      <c r="K6" s="230"/>
      <c r="L6" s="230"/>
      <c r="M6" s="230"/>
      <c r="N6" s="230"/>
      <c r="O6" s="230"/>
      <c r="P6" s="230"/>
      <c r="Q6" s="230"/>
      <c r="R6" s="230"/>
      <c r="S6" s="230"/>
      <c r="T6" s="230"/>
      <c r="U6" s="230"/>
      <c r="V6" s="230"/>
      <c r="W6" s="230"/>
      <c r="X6" s="230"/>
      <c r="Y6" s="230"/>
      <c r="Z6" s="230"/>
      <c r="AA6" s="230"/>
      <c r="AB6" s="230"/>
      <c r="AC6" s="230"/>
      <c r="AD6" s="230"/>
    </row>
    <row r="7" spans="1:30">
      <c r="A7" s="675" t="s">
        <v>176</v>
      </c>
      <c r="B7" s="675" t="s">
        <v>272</v>
      </c>
      <c r="C7" s="675" t="s">
        <v>177</v>
      </c>
      <c r="D7" s="866">
        <f>ROUND(1/0.001026,6)</f>
        <v>974.65886899999998</v>
      </c>
      <c r="E7" s="675" t="s">
        <v>283</v>
      </c>
      <c r="F7" s="1276" t="s">
        <v>1160</v>
      </c>
      <c r="G7" s="230"/>
      <c r="H7" s="230"/>
      <c r="I7" s="230"/>
      <c r="J7" s="230"/>
      <c r="K7" s="230"/>
      <c r="L7" s="230"/>
      <c r="M7" s="230"/>
      <c r="N7" s="230"/>
      <c r="O7" s="230"/>
      <c r="P7" s="230"/>
      <c r="Q7" s="230"/>
      <c r="R7" s="230"/>
      <c r="S7" s="230"/>
      <c r="T7" s="230"/>
      <c r="U7" s="230"/>
      <c r="V7" s="230"/>
      <c r="W7" s="230"/>
      <c r="X7" s="230"/>
      <c r="Y7" s="230"/>
      <c r="Z7" s="230"/>
      <c r="AA7" s="230"/>
      <c r="AB7" s="230"/>
      <c r="AC7" s="230"/>
      <c r="AD7" s="230"/>
    </row>
    <row r="8" spans="1:30">
      <c r="A8" s="675" t="s">
        <v>176</v>
      </c>
      <c r="B8" s="675" t="s">
        <v>645</v>
      </c>
      <c r="C8" s="675" t="s">
        <v>177</v>
      </c>
      <c r="D8" s="867">
        <f>D7</f>
        <v>974.65886899999998</v>
      </c>
      <c r="E8" s="675" t="s">
        <v>284</v>
      </c>
      <c r="F8" s="1277"/>
      <c r="G8" s="230"/>
      <c r="H8" s="230"/>
      <c r="I8" s="230"/>
      <c r="J8" s="230"/>
      <c r="K8" s="257"/>
      <c r="L8" s="230"/>
      <c r="M8" s="230"/>
      <c r="N8" s="230"/>
      <c r="O8" s="230"/>
      <c r="P8" s="230"/>
      <c r="Q8" s="230"/>
      <c r="R8" s="230"/>
      <c r="S8" s="230"/>
      <c r="T8" s="230"/>
      <c r="U8" s="230"/>
      <c r="V8" s="230"/>
      <c r="W8" s="230"/>
      <c r="X8" s="230"/>
      <c r="Y8" s="230"/>
      <c r="Z8" s="230"/>
      <c r="AA8" s="230"/>
      <c r="AB8" s="230"/>
      <c r="AC8" s="230"/>
      <c r="AD8" s="230"/>
    </row>
    <row r="9" spans="1:30">
      <c r="A9" s="675" t="s">
        <v>176</v>
      </c>
      <c r="B9" s="675" t="s">
        <v>278</v>
      </c>
      <c r="C9" s="675" t="s">
        <v>177</v>
      </c>
      <c r="D9" s="867">
        <f>D8/10</f>
        <v>97.465886900000001</v>
      </c>
      <c r="E9" s="675" t="s">
        <v>285</v>
      </c>
      <c r="F9" s="1277"/>
      <c r="G9" s="230"/>
      <c r="H9" s="230"/>
      <c r="I9" s="230"/>
      <c r="J9" s="230"/>
      <c r="K9" s="230"/>
      <c r="L9" s="230"/>
      <c r="M9" s="230"/>
      <c r="N9" s="230"/>
      <c r="O9" s="230"/>
      <c r="P9" s="230"/>
      <c r="Q9" s="230"/>
      <c r="R9" s="230"/>
      <c r="S9" s="230"/>
      <c r="T9" s="230"/>
      <c r="U9" s="230"/>
      <c r="V9" s="230"/>
      <c r="W9" s="230"/>
      <c r="X9" s="230"/>
      <c r="Y9" s="230"/>
      <c r="Z9" s="230"/>
      <c r="AA9" s="230"/>
      <c r="AB9" s="230"/>
      <c r="AC9" s="230"/>
      <c r="AD9" s="230"/>
    </row>
    <row r="10" spans="1:30">
      <c r="A10" s="675" t="s">
        <v>176</v>
      </c>
      <c r="B10" s="675" t="s">
        <v>279</v>
      </c>
      <c r="C10" s="675" t="s">
        <v>177</v>
      </c>
      <c r="D10" s="468">
        <v>100</v>
      </c>
      <c r="E10" s="675" t="s">
        <v>286</v>
      </c>
      <c r="F10" s="1277"/>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row>
    <row r="11" spans="1:30">
      <c r="A11" s="675" t="s">
        <v>176</v>
      </c>
      <c r="B11" s="675" t="s">
        <v>280</v>
      </c>
      <c r="C11" s="675" t="s">
        <v>177</v>
      </c>
      <c r="D11" s="468">
        <v>1000</v>
      </c>
      <c r="E11" s="675" t="s">
        <v>287</v>
      </c>
      <c r="F11" s="1277"/>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row>
    <row r="12" spans="1:30">
      <c r="A12" s="675" t="s">
        <v>176</v>
      </c>
      <c r="B12" s="675" t="s">
        <v>281</v>
      </c>
      <c r="C12" s="675" t="s">
        <v>177</v>
      </c>
      <c r="D12" s="625">
        <f>1/'Unit Conversions'!C25</f>
        <v>35.310734463276837</v>
      </c>
      <c r="E12" s="675" t="s">
        <v>288</v>
      </c>
      <c r="F12" s="1277"/>
      <c r="G12" s="230"/>
      <c r="H12" s="230"/>
      <c r="I12" s="230"/>
      <c r="J12" s="230"/>
      <c r="K12" s="230"/>
      <c r="L12" s="257"/>
      <c r="M12" s="230"/>
      <c r="N12" s="230"/>
      <c r="O12" s="230"/>
      <c r="P12" s="230"/>
      <c r="Q12" s="230"/>
      <c r="R12" s="230"/>
      <c r="S12" s="230"/>
      <c r="T12" s="230"/>
      <c r="U12" s="230"/>
      <c r="V12" s="230"/>
      <c r="W12" s="230"/>
      <c r="X12" s="230"/>
      <c r="Y12" s="230"/>
      <c r="Z12" s="230"/>
      <c r="AA12" s="230"/>
      <c r="AB12" s="230"/>
      <c r="AC12" s="230"/>
      <c r="AD12" s="230"/>
    </row>
    <row r="13" spans="1:30">
      <c r="A13" s="675" t="s">
        <v>176</v>
      </c>
      <c r="B13" s="675" t="s">
        <v>282</v>
      </c>
      <c r="C13" s="675" t="s">
        <v>177</v>
      </c>
      <c r="D13" s="868">
        <f>D7*('Unit Conversions'!C40/1000000)</f>
        <v>3.325536061028</v>
      </c>
      <c r="E13" s="675" t="s">
        <v>289</v>
      </c>
      <c r="F13" s="1277"/>
      <c r="G13" s="230"/>
      <c r="H13" s="230"/>
      <c r="I13" s="230"/>
      <c r="J13" s="230"/>
      <c r="K13" s="230"/>
      <c r="L13" s="257"/>
      <c r="M13" s="230"/>
      <c r="N13" s="230"/>
      <c r="O13" s="230"/>
      <c r="P13" s="230"/>
      <c r="Q13" s="230"/>
      <c r="R13" s="230"/>
      <c r="S13" s="230"/>
      <c r="T13" s="230"/>
      <c r="U13" s="230"/>
      <c r="V13" s="230"/>
      <c r="W13" s="230"/>
      <c r="X13" s="230"/>
      <c r="Y13" s="230"/>
      <c r="Z13" s="230"/>
      <c r="AA13" s="230"/>
      <c r="AB13" s="230"/>
      <c r="AC13" s="230"/>
      <c r="AD13" s="230"/>
    </row>
    <row r="14" spans="1:30">
      <c r="A14" s="675" t="s">
        <v>172</v>
      </c>
      <c r="B14" s="675" t="s">
        <v>272</v>
      </c>
      <c r="C14" s="675" t="s">
        <v>273</v>
      </c>
      <c r="D14" s="869">
        <f>1/25.09</f>
        <v>3.9856516540454363E-2</v>
      </c>
      <c r="E14" s="675" t="s">
        <v>277</v>
      </c>
      <c r="F14" s="1277"/>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675" t="s">
        <v>173</v>
      </c>
      <c r="B15" s="675" t="s">
        <v>272</v>
      </c>
      <c r="C15" s="675" t="s">
        <v>273</v>
      </c>
      <c r="D15" s="869">
        <f>1/24.93</f>
        <v>4.011231448054553E-2</v>
      </c>
      <c r="E15" s="675" t="s">
        <v>277</v>
      </c>
      <c r="F15" s="1277"/>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675" t="s">
        <v>174</v>
      </c>
      <c r="B16" s="675" t="s">
        <v>272</v>
      </c>
      <c r="C16" s="675" t="s">
        <v>273</v>
      </c>
      <c r="D16" s="869">
        <f>1/17.25</f>
        <v>5.7971014492753624E-2</v>
      </c>
      <c r="E16" s="675" t="s">
        <v>277</v>
      </c>
      <c r="F16" s="1277"/>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870" t="s">
        <v>838</v>
      </c>
      <c r="B17" s="675" t="s">
        <v>272</v>
      </c>
      <c r="C17" s="675" t="s">
        <v>273</v>
      </c>
      <c r="D17" s="869">
        <f>1/24.8</f>
        <v>4.0322580645161289E-2</v>
      </c>
      <c r="E17" s="675" t="s">
        <v>277</v>
      </c>
      <c r="F17" s="1277"/>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675" t="s">
        <v>175</v>
      </c>
      <c r="B18" s="675" t="s">
        <v>272</v>
      </c>
      <c r="C18" s="675" t="s">
        <v>273</v>
      </c>
      <c r="D18" s="869">
        <f>1/14.21</f>
        <v>7.0372976776917659E-2</v>
      </c>
      <c r="E18" s="675" t="s">
        <v>277</v>
      </c>
      <c r="F18" s="1277"/>
      <c r="G18" s="230"/>
      <c r="H18" s="482"/>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870" t="s">
        <v>837</v>
      </c>
      <c r="B19" s="675" t="s">
        <v>272</v>
      </c>
      <c r="C19" s="675" t="s">
        <v>273</v>
      </c>
      <c r="D19" s="869">
        <f>1/19.73</f>
        <v>5.0684237202230108E-2</v>
      </c>
      <c r="E19" s="675" t="s">
        <v>277</v>
      </c>
      <c r="F19" s="1277"/>
      <c r="G19" s="230"/>
      <c r="H19" s="482"/>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870" t="s">
        <v>841</v>
      </c>
      <c r="B20" s="675" t="s">
        <v>272</v>
      </c>
      <c r="C20" s="675" t="s">
        <v>273</v>
      </c>
      <c r="D20" s="869">
        <f>1/17.48</f>
        <v>5.7208237986270019E-2</v>
      </c>
      <c r="E20" s="675" t="s">
        <v>277</v>
      </c>
      <c r="F20" s="1277"/>
      <c r="G20" s="230"/>
      <c r="H20" s="482"/>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675" t="s">
        <v>839</v>
      </c>
      <c r="B21" s="675" t="s">
        <v>272</v>
      </c>
      <c r="C21" s="675" t="s">
        <v>290</v>
      </c>
      <c r="D21" s="630">
        <f>1/0.138</f>
        <v>7.2463768115942022</v>
      </c>
      <c r="E21" s="675" t="s">
        <v>291</v>
      </c>
      <c r="F21" s="1277"/>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675" t="s">
        <v>840</v>
      </c>
      <c r="B22" s="675" t="s">
        <v>272</v>
      </c>
      <c r="C22" s="675" t="s">
        <v>290</v>
      </c>
      <c r="D22" s="868">
        <f>1/0.15</f>
        <v>6.666666666666667</v>
      </c>
      <c r="E22" s="675" t="s">
        <v>291</v>
      </c>
      <c r="F22" s="1277"/>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c r="A23" s="675" t="s">
        <v>179</v>
      </c>
      <c r="B23" s="675" t="s">
        <v>272</v>
      </c>
      <c r="C23" s="675" t="s">
        <v>290</v>
      </c>
      <c r="D23" s="868">
        <f>1/0.135</f>
        <v>7.4074074074074066</v>
      </c>
      <c r="E23" s="675" t="s">
        <v>291</v>
      </c>
      <c r="F23" s="1277"/>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c r="A24" s="675" t="s">
        <v>842</v>
      </c>
      <c r="B24" s="675" t="s">
        <v>272</v>
      </c>
      <c r="C24" s="675" t="s">
        <v>290</v>
      </c>
      <c r="D24" s="868">
        <f>1/0.092</f>
        <v>10.869565217391305</v>
      </c>
      <c r="E24" s="675" t="s">
        <v>291</v>
      </c>
      <c r="F24" s="1277"/>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c r="A25" s="870" t="s">
        <v>844</v>
      </c>
      <c r="B25" s="675" t="s">
        <v>272</v>
      </c>
      <c r="C25" s="675" t="s">
        <v>290</v>
      </c>
      <c r="D25" s="868">
        <f>1/0.143</f>
        <v>6.9930069930069934</v>
      </c>
      <c r="E25" s="675" t="s">
        <v>291</v>
      </c>
      <c r="F25" s="1277"/>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c r="A26" s="675" t="s">
        <v>843</v>
      </c>
      <c r="B26" s="675" t="s">
        <v>272</v>
      </c>
      <c r="C26" s="675" t="s">
        <v>177</v>
      </c>
      <c r="D26" s="871">
        <f>1/0.000485</f>
        <v>2061.8556701030925</v>
      </c>
      <c r="E26" s="675" t="s">
        <v>283</v>
      </c>
      <c r="F26" s="1277"/>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c r="A27" s="675" t="s">
        <v>75</v>
      </c>
      <c r="B27" s="675" t="s">
        <v>632</v>
      </c>
      <c r="C27" s="675" t="s">
        <v>272</v>
      </c>
      <c r="D27" s="468">
        <f>D28*1000</f>
        <v>1.194</v>
      </c>
      <c r="E27" s="675" t="s">
        <v>297</v>
      </c>
      <c r="F27" s="1278" t="s">
        <v>1088</v>
      </c>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c r="A28" s="468" t="s">
        <v>75</v>
      </c>
      <c r="B28" s="675" t="s">
        <v>400</v>
      </c>
      <c r="C28" s="468" t="s">
        <v>272</v>
      </c>
      <c r="D28" s="468">
        <f>1.194/1000</f>
        <v>1.194E-3</v>
      </c>
      <c r="E28" s="675" t="s">
        <v>631</v>
      </c>
      <c r="F28" s="1279"/>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c r="A29" s="468" t="s">
        <v>75</v>
      </c>
      <c r="B29" s="468" t="s">
        <v>295</v>
      </c>
      <c r="C29" s="468" t="s">
        <v>272</v>
      </c>
      <c r="D29" s="468">
        <f>D28*('Unit Conversions'!C15/'Unit Conversions'!B59)</f>
        <v>5.9700000000000001E-10</v>
      </c>
      <c r="E29" s="468" t="s">
        <v>296</v>
      </c>
      <c r="F29" s="1279"/>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c r="A30" s="230"/>
      <c r="B30" s="230"/>
      <c r="C30" s="230"/>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230"/>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230"/>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474"/>
      <c r="B33" s="257"/>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c r="A34" s="474"/>
      <c r="B34" s="257"/>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c r="A35" s="474"/>
      <c r="B35" s="257"/>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c r="A36" s="474"/>
      <c r="B36" s="257"/>
      <c r="C36" s="230"/>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324"/>
      <c r="B37" s="257"/>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474"/>
      <c r="B38" s="257"/>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c r="A39" s="475"/>
      <c r="B39" s="257"/>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474"/>
      <c r="B40" s="257"/>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474"/>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474"/>
      <c r="B42" s="257"/>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474"/>
      <c r="B43" s="257"/>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c r="A44" s="474"/>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c r="A45" s="474"/>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sheetData>
  <sheetProtection sheet="1" objects="1" scenarios="1"/>
  <mergeCells count="2">
    <mergeCell ref="F7:F26"/>
    <mergeCell ref="F27:F29"/>
  </mergeCells>
  <pageMargins left="0.7" right="0.7" top="0.75" bottom="0.75" header="0.3" footer="0.3"/>
  <pageSetup scale="62" orientation="portrait" r:id="rId1"/>
  <colBreaks count="1" manualBreakCount="1">
    <brk id="6" max="1048575" man="1"/>
  </colBreaks>
  <drawing r:id="rId2"/>
  <legacyDrawing r:id="rId3"/>
  <controls>
    <mc:AlternateContent xmlns:mc="http://schemas.openxmlformats.org/markup-compatibility/2006">
      <mc:Choice Requires="x14">
        <control shapeId="25602" r:id="rId4" name="CommandButton1">
          <controlPr autoLine="0" r:id="rId5">
            <anchor>
              <from>
                <xdr:col>0</xdr:col>
                <xdr:colOff>714375</xdr:colOff>
                <xdr:row>0</xdr:row>
                <xdr:rowOff>142875</xdr:rowOff>
              </from>
              <to>
                <xdr:col>0</xdr:col>
                <xdr:colOff>1628775</xdr:colOff>
                <xdr:row>1</xdr:row>
                <xdr:rowOff>142875</xdr:rowOff>
              </to>
            </anchor>
          </controlPr>
        </control>
      </mc:Choice>
      <mc:Fallback>
        <control shapeId="25602" r:id="rId4" name="CommandButton1"/>
      </mc:Fallback>
    </mc:AlternateContent>
    <mc:AlternateContent xmlns:mc="http://schemas.openxmlformats.org/markup-compatibility/2006">
      <mc:Choice Requires="x14">
        <control shapeId="25603" r:id="rId6" name="CommandButton2">
          <controlPr autoLine="0" r:id="rId7">
            <anchor>
              <from>
                <xdr:col>0</xdr:col>
                <xdr:colOff>1828800</xdr:colOff>
                <xdr:row>0</xdr:row>
                <xdr:rowOff>133350</xdr:rowOff>
              </from>
              <to>
                <xdr:col>1</xdr:col>
                <xdr:colOff>1200150</xdr:colOff>
                <xdr:row>1</xdr:row>
                <xdr:rowOff>133350</xdr:rowOff>
              </to>
            </anchor>
          </controlPr>
        </control>
      </mc:Choice>
      <mc:Fallback>
        <control shapeId="25603" r:id="rId6" name="CommandButton2"/>
      </mc:Fallback>
    </mc:AlternateContent>
    <mc:AlternateContent xmlns:mc="http://schemas.openxmlformats.org/markup-compatibility/2006">
      <mc:Choice Requires="x14">
        <control shapeId="25852" r:id="rId8" name="CommandButton3">
          <controlPr autoLine="0" r:id="rId9">
            <anchor moveWithCells="1">
              <from>
                <xdr:col>2</xdr:col>
                <xdr:colOff>200025</xdr:colOff>
                <xdr:row>0</xdr:row>
                <xdr:rowOff>142875</xdr:rowOff>
              </from>
              <to>
                <xdr:col>4</xdr:col>
                <xdr:colOff>314325</xdr:colOff>
                <xdr:row>1</xdr:row>
                <xdr:rowOff>133350</xdr:rowOff>
              </to>
            </anchor>
          </controlPr>
        </control>
      </mc:Choice>
      <mc:Fallback>
        <control shapeId="25852" r:id="rId8" name="CommandButton3"/>
      </mc:Fallback>
    </mc:AlternateContent>
    <mc:AlternateContent xmlns:mc="http://schemas.openxmlformats.org/markup-compatibility/2006">
      <mc:Choice Requires="x14">
        <control shapeId="26016" r:id="rId10" name="CommandButton4">
          <controlPr autoLine="0" r:id="rId11">
            <anchor moveWithCells="1">
              <from>
                <xdr:col>4</xdr:col>
                <xdr:colOff>714375</xdr:colOff>
                <xdr:row>0</xdr:row>
                <xdr:rowOff>142875</xdr:rowOff>
              </from>
              <to>
                <xdr:col>5</xdr:col>
                <xdr:colOff>676275</xdr:colOff>
                <xdr:row>1</xdr:row>
                <xdr:rowOff>133350</xdr:rowOff>
              </to>
            </anchor>
          </controlPr>
        </control>
      </mc:Choice>
      <mc:Fallback>
        <control shapeId="26016" r:id="rId10" name="CommandButton4"/>
      </mc:Fallback>
    </mc:AlternateContent>
  </control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IV435"/>
  <sheetViews>
    <sheetView zoomScaleNormal="100" workbookViewId="0"/>
  </sheetViews>
  <sheetFormatPr defaultRowHeight="12.75"/>
  <cols>
    <col min="1" max="1" width="35.42578125" customWidth="1"/>
    <col min="2" max="2" width="33.7109375" customWidth="1"/>
    <col min="3" max="3" width="13.7109375" customWidth="1"/>
    <col min="4" max="4" width="21.42578125" customWidth="1"/>
    <col min="5" max="5" width="16.140625" customWidth="1"/>
    <col min="6" max="6" width="20.7109375" customWidth="1"/>
    <col min="7" max="7" width="20.85546875" customWidth="1"/>
    <col min="8" max="8" width="13.42578125" customWidth="1"/>
    <col min="11" max="11" width="17.42578125" customWidth="1"/>
    <col min="12" max="12" width="9.7109375" bestFit="1" customWidth="1"/>
    <col min="14" max="14" width="20.42578125" bestFit="1" customWidth="1"/>
    <col min="16" max="16" width="11.7109375" bestFit="1" customWidth="1"/>
    <col min="17" max="17" width="9.5703125" bestFit="1"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256" t="s">
        <v>485</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257"/>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678" t="s">
        <v>1172</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row>
    <row r="6" spans="1:30">
      <c r="A6" s="959" t="s">
        <v>1119</v>
      </c>
      <c r="B6" s="230"/>
      <c r="C6" s="230"/>
      <c r="D6" s="230"/>
      <c r="E6" s="230"/>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row>
    <row r="7" spans="1:30">
      <c r="A7" s="376" t="s">
        <v>754</v>
      </c>
      <c r="B7" s="377"/>
      <c r="C7" s="377"/>
      <c r="D7" s="377"/>
      <c r="E7" s="377"/>
      <c r="F7" s="377"/>
      <c r="G7" s="377"/>
      <c r="H7" s="377"/>
      <c r="I7" s="230"/>
      <c r="J7" s="230"/>
      <c r="K7" s="230"/>
      <c r="L7" s="230"/>
      <c r="M7" s="230"/>
      <c r="N7" s="230"/>
      <c r="O7" s="230"/>
      <c r="P7" s="230"/>
      <c r="Q7" s="230"/>
      <c r="R7" s="230"/>
      <c r="S7" s="230"/>
      <c r="T7" s="230"/>
      <c r="U7" s="230"/>
      <c r="V7" s="230"/>
      <c r="W7" s="230"/>
      <c r="X7" s="230"/>
      <c r="Y7" s="230"/>
      <c r="Z7" s="230"/>
      <c r="AA7" s="230"/>
      <c r="AB7" s="230"/>
      <c r="AC7" s="230"/>
      <c r="AD7" s="230"/>
    </row>
    <row r="8" spans="1:30" ht="13.5" thickBot="1">
      <c r="B8" s="14"/>
      <c r="C8" s="14"/>
      <c r="D8" s="14"/>
      <c r="E8" s="14"/>
      <c r="F8" s="14"/>
      <c r="G8" s="14"/>
      <c r="H8" s="14"/>
      <c r="I8" s="230"/>
      <c r="J8" s="230"/>
      <c r="K8" s="230"/>
      <c r="L8" s="230"/>
      <c r="M8" s="230"/>
      <c r="N8" s="230"/>
      <c r="O8" s="230"/>
      <c r="P8" s="230"/>
      <c r="Q8" s="230"/>
      <c r="R8" s="230"/>
      <c r="S8" s="230"/>
      <c r="T8" s="230"/>
      <c r="U8" s="230"/>
      <c r="V8" s="230"/>
      <c r="W8" s="230"/>
      <c r="X8" s="230"/>
      <c r="Y8" s="230"/>
      <c r="Z8" s="230"/>
      <c r="AA8" s="230"/>
      <c r="AB8" s="230"/>
      <c r="AC8" s="230"/>
      <c r="AD8" s="230"/>
    </row>
    <row r="9" spans="1:30" ht="27.75" thickBot="1">
      <c r="A9" s="881" t="s">
        <v>171</v>
      </c>
      <c r="B9" s="880" t="s">
        <v>951</v>
      </c>
      <c r="C9" s="880" t="s">
        <v>302</v>
      </c>
      <c r="D9" s="880" t="s">
        <v>303</v>
      </c>
      <c r="E9" s="880" t="s">
        <v>952</v>
      </c>
      <c r="F9" s="880" t="s">
        <v>315</v>
      </c>
      <c r="G9" s="880" t="s">
        <v>316</v>
      </c>
      <c r="H9" s="616" t="s">
        <v>32</v>
      </c>
      <c r="I9" s="230"/>
      <c r="J9" s="230"/>
      <c r="K9" s="230"/>
      <c r="L9" s="230"/>
      <c r="M9" s="230"/>
      <c r="N9" s="230"/>
      <c r="O9" s="230"/>
      <c r="P9" s="230"/>
      <c r="Q9" s="230"/>
      <c r="R9" s="230"/>
      <c r="S9" s="230"/>
      <c r="T9" s="230"/>
      <c r="U9" s="230"/>
      <c r="V9" s="230"/>
      <c r="W9" s="230"/>
      <c r="X9" s="230"/>
      <c r="Y9" s="230"/>
      <c r="Z9" s="230"/>
      <c r="AA9" s="230"/>
      <c r="AB9" s="230"/>
      <c r="AC9" s="230"/>
      <c r="AD9" s="230"/>
    </row>
    <row r="10" spans="1:30">
      <c r="A10" s="900" t="s">
        <v>176</v>
      </c>
      <c r="B10" s="901">
        <v>53.06</v>
      </c>
      <c r="C10" s="902">
        <v>1</v>
      </c>
      <c r="D10" s="903">
        <v>0.1</v>
      </c>
      <c r="E10" s="904">
        <v>5.4440000000000002E-2</v>
      </c>
      <c r="F10" s="904">
        <v>1.0300000000000001E-3</v>
      </c>
      <c r="G10" s="904">
        <v>1E-4</v>
      </c>
      <c r="H10" s="905" t="s">
        <v>177</v>
      </c>
      <c r="I10" s="257"/>
      <c r="J10" s="230"/>
      <c r="K10" s="230"/>
      <c r="L10" s="230"/>
      <c r="M10" s="230"/>
      <c r="N10" s="230"/>
      <c r="O10" s="230"/>
      <c r="P10" s="230"/>
      <c r="Q10" s="230"/>
      <c r="R10" s="230"/>
      <c r="S10" s="230"/>
      <c r="T10" s="230"/>
      <c r="U10" s="230"/>
      <c r="V10" s="230"/>
      <c r="W10" s="230"/>
      <c r="X10" s="230"/>
      <c r="Y10" s="230"/>
      <c r="Z10" s="230"/>
      <c r="AA10" s="230"/>
      <c r="AB10" s="230"/>
      <c r="AC10" s="230"/>
      <c r="AD10" s="230"/>
    </row>
    <row r="11" spans="1:30">
      <c r="A11" s="906" t="s">
        <v>839</v>
      </c>
      <c r="B11" s="907">
        <v>73.959999999999994</v>
      </c>
      <c r="C11" s="908">
        <v>3</v>
      </c>
      <c r="D11" s="909">
        <v>0.6</v>
      </c>
      <c r="E11" s="910">
        <v>10.210000000000001</v>
      </c>
      <c r="F11" s="910">
        <v>0.41</v>
      </c>
      <c r="G11" s="910">
        <v>0.08</v>
      </c>
      <c r="H11" s="911" t="s">
        <v>178</v>
      </c>
      <c r="I11" s="257"/>
      <c r="J11" s="230"/>
      <c r="K11" s="230"/>
      <c r="L11" s="230"/>
      <c r="M11" s="230"/>
      <c r="N11" s="230"/>
      <c r="O11" s="230"/>
      <c r="P11" s="230"/>
      <c r="Q11" s="230"/>
      <c r="R11" s="230"/>
      <c r="S11" s="230"/>
      <c r="T11" s="230"/>
      <c r="U11" s="230"/>
      <c r="V11" s="230"/>
      <c r="W11" s="230"/>
      <c r="X11" s="230"/>
      <c r="Y11" s="230"/>
      <c r="Z11" s="230"/>
      <c r="AA11" s="230"/>
      <c r="AB11" s="230"/>
      <c r="AC11" s="230"/>
      <c r="AD11" s="230"/>
    </row>
    <row r="12" spans="1:30">
      <c r="A12" s="906" t="s">
        <v>840</v>
      </c>
      <c r="B12" s="909">
        <v>75.099999999999994</v>
      </c>
      <c r="C12" s="908">
        <v>3</v>
      </c>
      <c r="D12" s="909">
        <v>0.6</v>
      </c>
      <c r="E12" s="910">
        <v>11.27</v>
      </c>
      <c r="F12" s="910">
        <v>0.45</v>
      </c>
      <c r="G12" s="910">
        <v>0.09</v>
      </c>
      <c r="H12" s="911" t="s">
        <v>178</v>
      </c>
      <c r="I12" s="257"/>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912" t="s">
        <v>179</v>
      </c>
      <c r="B13" s="909">
        <v>75.2</v>
      </c>
      <c r="C13" s="908">
        <v>3</v>
      </c>
      <c r="D13" s="909">
        <v>0.6</v>
      </c>
      <c r="E13" s="910">
        <v>10.15</v>
      </c>
      <c r="F13" s="910">
        <v>0.41</v>
      </c>
      <c r="G13" s="910">
        <v>0.08</v>
      </c>
      <c r="H13" s="911" t="s">
        <v>178</v>
      </c>
      <c r="I13" s="257"/>
      <c r="J13" s="230"/>
      <c r="K13" s="230"/>
      <c r="L13" s="230"/>
      <c r="M13" s="230"/>
      <c r="N13" s="230"/>
      <c r="O13" s="230"/>
      <c r="P13" s="230"/>
      <c r="Q13" s="230"/>
      <c r="R13" s="230"/>
      <c r="S13" s="230"/>
      <c r="T13" s="230"/>
      <c r="U13" s="230"/>
      <c r="V13" s="230"/>
      <c r="W13" s="230"/>
      <c r="X13" s="230"/>
      <c r="Y13" s="230"/>
      <c r="Z13" s="230"/>
      <c r="AA13" s="230"/>
      <c r="AB13" s="230"/>
      <c r="AC13" s="230"/>
      <c r="AD13" s="230"/>
    </row>
    <row r="14" spans="1:30">
      <c r="A14" s="906" t="s">
        <v>842</v>
      </c>
      <c r="B14" s="907">
        <v>61.71</v>
      </c>
      <c r="C14" s="908">
        <v>3</v>
      </c>
      <c r="D14" s="909">
        <v>0.6</v>
      </c>
      <c r="E14" s="910">
        <v>5.68</v>
      </c>
      <c r="F14" s="910">
        <v>0.28000000000000003</v>
      </c>
      <c r="G14" s="910">
        <v>0.06</v>
      </c>
      <c r="H14" s="911" t="s">
        <v>178</v>
      </c>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912" t="s">
        <v>172</v>
      </c>
      <c r="B15" s="907">
        <v>103.69</v>
      </c>
      <c r="C15" s="907">
        <v>11</v>
      </c>
      <c r="D15" s="907">
        <v>1.6</v>
      </c>
      <c r="E15" s="913">
        <v>2602</v>
      </c>
      <c r="F15" s="914">
        <v>276</v>
      </c>
      <c r="G15" s="914">
        <v>40</v>
      </c>
      <c r="H15" s="911" t="s">
        <v>274</v>
      </c>
      <c r="I15" s="257"/>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912" t="s">
        <v>173</v>
      </c>
      <c r="B16" s="909">
        <v>93.28</v>
      </c>
      <c r="C16" s="907">
        <v>11</v>
      </c>
      <c r="D16" s="907">
        <v>1.6</v>
      </c>
      <c r="E16" s="913">
        <v>2325</v>
      </c>
      <c r="F16" s="914">
        <v>274</v>
      </c>
      <c r="G16" s="914">
        <v>40</v>
      </c>
      <c r="H16" s="911" t="s">
        <v>274</v>
      </c>
      <c r="I16" s="257"/>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912" t="s">
        <v>174</v>
      </c>
      <c r="B17" s="907">
        <v>97.17</v>
      </c>
      <c r="C17" s="907">
        <v>11</v>
      </c>
      <c r="D17" s="907">
        <v>1.6</v>
      </c>
      <c r="E17" s="913">
        <v>1676</v>
      </c>
      <c r="F17" s="914">
        <v>190</v>
      </c>
      <c r="G17" s="914">
        <v>28</v>
      </c>
      <c r="H17" s="911" t="s">
        <v>274</v>
      </c>
      <c r="I17" s="257"/>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912" t="s">
        <v>175</v>
      </c>
      <c r="B18" s="907">
        <v>97.72</v>
      </c>
      <c r="C18" s="907">
        <v>11</v>
      </c>
      <c r="D18" s="907">
        <v>1.6</v>
      </c>
      <c r="E18" s="913">
        <v>1389</v>
      </c>
      <c r="F18" s="914">
        <v>156</v>
      </c>
      <c r="G18" s="914">
        <v>23</v>
      </c>
      <c r="H18" s="911" t="s">
        <v>274</v>
      </c>
      <c r="I18" s="257"/>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906" t="s">
        <v>837</v>
      </c>
      <c r="B19" s="907">
        <v>95.52</v>
      </c>
      <c r="C19" s="907">
        <v>11</v>
      </c>
      <c r="D19" s="907">
        <v>1.6</v>
      </c>
      <c r="E19" s="915"/>
      <c r="F19" s="915"/>
      <c r="G19" s="915"/>
      <c r="H19" s="916"/>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912" t="s">
        <v>838</v>
      </c>
      <c r="B20" s="907">
        <v>113.67</v>
      </c>
      <c r="C20" s="907">
        <v>11</v>
      </c>
      <c r="D20" s="907">
        <v>1.6</v>
      </c>
      <c r="E20" s="915"/>
      <c r="F20" s="915"/>
      <c r="G20" s="915"/>
      <c r="H20" s="916"/>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917" t="s">
        <v>72</v>
      </c>
      <c r="B21" s="907">
        <v>102.41</v>
      </c>
      <c r="C21" s="908">
        <v>3</v>
      </c>
      <c r="D21" s="909">
        <v>0.6</v>
      </c>
      <c r="E21" s="915"/>
      <c r="F21" s="915"/>
      <c r="G21" s="915"/>
      <c r="H21" s="916"/>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912" t="s">
        <v>841</v>
      </c>
      <c r="B22" s="907">
        <v>0</v>
      </c>
      <c r="C22" s="907">
        <v>7.2</v>
      </c>
      <c r="D22" s="907">
        <v>3.6</v>
      </c>
      <c r="E22" s="918">
        <v>1640</v>
      </c>
      <c r="F22" s="918">
        <v>126</v>
      </c>
      <c r="G22" s="918">
        <v>63</v>
      </c>
      <c r="H22" s="911" t="s">
        <v>274</v>
      </c>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ht="13.5" thickBot="1">
      <c r="A23" s="919" t="s">
        <v>843</v>
      </c>
      <c r="B23" s="920">
        <v>0</v>
      </c>
      <c r="C23" s="920">
        <v>3.2</v>
      </c>
      <c r="D23" s="920">
        <v>0.63</v>
      </c>
      <c r="E23" s="921">
        <v>2.5253999999999999E-2</v>
      </c>
      <c r="F23" s="922">
        <v>1.5520000000000002E-3</v>
      </c>
      <c r="G23" s="922">
        <v>3.0600000000000001E-4</v>
      </c>
      <c r="H23" s="923" t="s">
        <v>177</v>
      </c>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c r="A24" s="899" t="s">
        <v>336</v>
      </c>
      <c r="B24" s="899"/>
      <c r="C24" s="899"/>
      <c r="D24" s="899"/>
      <c r="E24" s="899"/>
      <c r="F24" s="899"/>
      <c r="G24" s="899"/>
      <c r="H24" s="899"/>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23.45" customHeight="1">
      <c r="A25" s="1311" t="s">
        <v>1161</v>
      </c>
      <c r="B25" s="1311"/>
      <c r="C25" s="1311"/>
      <c r="D25" s="1311"/>
      <c r="E25" s="1311"/>
      <c r="F25" s="1311"/>
      <c r="G25" s="1311"/>
      <c r="H25" s="1311"/>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ht="13.15" customHeight="1">
      <c r="A26" s="279"/>
      <c r="B26" s="10"/>
      <c r="C26" s="10"/>
      <c r="D26" s="10"/>
      <c r="E26" s="10"/>
      <c r="F26" s="10"/>
      <c r="G26" s="10"/>
      <c r="H26" s="1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c r="A27" s="376" t="s">
        <v>484</v>
      </c>
      <c r="B27" s="377"/>
      <c r="C27" s="377"/>
      <c r="D27" s="377"/>
      <c r="E27" s="377"/>
      <c r="F27" s="377"/>
      <c r="G27" s="377"/>
      <c r="H27" s="377"/>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ht="15" thickBot="1">
      <c r="A28" s="13" t="s">
        <v>308</v>
      </c>
      <c r="B28" s="10"/>
      <c r="C28" s="10"/>
      <c r="D28" s="230"/>
      <c r="E28" s="23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ht="29.25" thickBot="1">
      <c r="A29" s="618" t="s">
        <v>171</v>
      </c>
      <c r="B29" s="611" t="s">
        <v>759</v>
      </c>
      <c r="C29" s="615" t="s">
        <v>32</v>
      </c>
      <c r="D29" s="230"/>
      <c r="E29" s="230"/>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c r="A30" s="290" t="s">
        <v>233</v>
      </c>
      <c r="B30" s="624">
        <v>8.7799999999999994</v>
      </c>
      <c r="C30" s="291" t="s">
        <v>290</v>
      </c>
      <c r="D30" s="230"/>
      <c r="E30" s="230"/>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292" t="s">
        <v>234</v>
      </c>
      <c r="B31" s="468">
        <v>10.210000000000001</v>
      </c>
      <c r="C31" s="293" t="s">
        <v>290</v>
      </c>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292" t="s">
        <v>845</v>
      </c>
      <c r="B32" s="625">
        <v>11.27</v>
      </c>
      <c r="C32" s="293" t="s">
        <v>290</v>
      </c>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585" t="s">
        <v>668</v>
      </c>
      <c r="B33" s="468">
        <v>8.31</v>
      </c>
      <c r="C33" s="293" t="s">
        <v>290</v>
      </c>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c r="A34" s="292" t="s">
        <v>848</v>
      </c>
      <c r="B34" s="468">
        <v>9.75</v>
      </c>
      <c r="C34" s="293" t="s">
        <v>290</v>
      </c>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c r="A35" s="292" t="s">
        <v>842</v>
      </c>
      <c r="B35" s="675">
        <v>5.68</v>
      </c>
      <c r="C35" s="293" t="s">
        <v>290</v>
      </c>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c r="A36" s="292" t="s">
        <v>846</v>
      </c>
      <c r="B36" s="468">
        <v>5.75</v>
      </c>
      <c r="C36" s="208" t="s">
        <v>290</v>
      </c>
      <c r="D36" s="230"/>
      <c r="E36" s="230"/>
      <c r="F36" s="230"/>
      <c r="G36" s="230"/>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292" t="s">
        <v>847</v>
      </c>
      <c r="B37" s="468">
        <v>9.4499999999999993</v>
      </c>
      <c r="C37" s="208" t="s">
        <v>290</v>
      </c>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292" t="s">
        <v>109</v>
      </c>
      <c r="B38" s="625">
        <v>4.5</v>
      </c>
      <c r="C38" s="208" t="s">
        <v>290</v>
      </c>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ht="13.5" thickBot="1">
      <c r="A39" s="157" t="s">
        <v>17</v>
      </c>
      <c r="B39" s="470">
        <v>5.4440000000000002E-2</v>
      </c>
      <c r="C39" s="209" t="s">
        <v>177</v>
      </c>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899" t="s">
        <v>336</v>
      </c>
      <c r="B40" s="27"/>
      <c r="C40" s="267"/>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ht="24.75" customHeight="1">
      <c r="A41" s="1313" t="s">
        <v>1163</v>
      </c>
      <c r="B41" s="1313"/>
      <c r="C41" s="1313"/>
      <c r="D41" s="1313"/>
      <c r="E41" s="1313"/>
      <c r="F41" s="1313"/>
      <c r="G41" s="1313"/>
      <c r="H41" s="1313"/>
      <c r="I41" s="1313"/>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1314" t="s">
        <v>1162</v>
      </c>
      <c r="B42" s="1314"/>
      <c r="C42" s="1314"/>
      <c r="D42" s="1314"/>
      <c r="E42" s="1314"/>
      <c r="F42" s="1314"/>
      <c r="G42" s="1314"/>
      <c r="H42" s="1314"/>
      <c r="I42" s="1314"/>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1312"/>
      <c r="B43" s="1312"/>
      <c r="C43" s="1312"/>
      <c r="D43" s="1312"/>
      <c r="E43" s="1312"/>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ht="15" thickBot="1">
      <c r="A44" s="229" t="s">
        <v>313</v>
      </c>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ht="27.75" thickBot="1">
      <c r="A45" s="618" t="s">
        <v>145</v>
      </c>
      <c r="B45" s="610" t="s">
        <v>239</v>
      </c>
      <c r="C45" s="274" t="s">
        <v>309</v>
      </c>
      <c r="D45" s="445" t="s">
        <v>310</v>
      </c>
      <c r="E45" s="1315" t="s">
        <v>460</v>
      </c>
      <c r="F45" s="1316"/>
      <c r="G45" s="1316"/>
      <c r="H45" s="1317"/>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73" t="s">
        <v>140</v>
      </c>
      <c r="B46" s="926" t="s">
        <v>1173</v>
      </c>
      <c r="C46" s="268">
        <v>7.0400000000000004E-2</v>
      </c>
      <c r="D46" s="296">
        <v>6.4699999999999994E-2</v>
      </c>
      <c r="E46" s="1318"/>
      <c r="F46" s="1319"/>
      <c r="G46" s="1319"/>
      <c r="H46" s="132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c r="A47" s="77"/>
      <c r="B47" s="79">
        <v>1994</v>
      </c>
      <c r="C47" s="4">
        <v>6.1699999999999998E-2</v>
      </c>
      <c r="D47" s="450">
        <v>6.0299999999999999E-2</v>
      </c>
      <c r="E47" s="1303"/>
      <c r="F47" s="1304"/>
      <c r="G47" s="1304"/>
      <c r="H47" s="1305"/>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77"/>
      <c r="B48" s="79">
        <v>1995</v>
      </c>
      <c r="C48" s="4">
        <v>5.3100000000000001E-2</v>
      </c>
      <c r="D48" s="234">
        <v>5.6000000000000001E-2</v>
      </c>
      <c r="E48" s="1303"/>
      <c r="F48" s="1304"/>
      <c r="G48" s="1304"/>
      <c r="H48" s="1305"/>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77"/>
      <c r="B49" s="79">
        <v>1996</v>
      </c>
      <c r="C49" s="4">
        <v>4.3400000000000001E-2</v>
      </c>
      <c r="D49" s="234">
        <v>5.0299999999999997E-2</v>
      </c>
      <c r="E49" s="1303"/>
      <c r="F49" s="1304"/>
      <c r="G49" s="1304"/>
      <c r="H49" s="1305"/>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77"/>
      <c r="B50" s="79">
        <v>1997</v>
      </c>
      <c r="C50" s="4">
        <v>3.3700000000000001E-2</v>
      </c>
      <c r="D50" s="234">
        <v>4.4600000000000001E-2</v>
      </c>
      <c r="E50" s="1303"/>
      <c r="F50" s="1304"/>
      <c r="G50" s="1304"/>
      <c r="H50" s="1305"/>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77"/>
      <c r="B51" s="79">
        <v>1998</v>
      </c>
      <c r="C51" s="285">
        <v>2.4E-2</v>
      </c>
      <c r="D51" s="234">
        <v>3.8899999999999997E-2</v>
      </c>
      <c r="E51" s="1303"/>
      <c r="F51" s="1304"/>
      <c r="G51" s="1304"/>
      <c r="H51" s="1305"/>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77"/>
      <c r="B52" s="79">
        <v>1999</v>
      </c>
      <c r="C52" s="4">
        <v>2.1499999999999998E-2</v>
      </c>
      <c r="D52" s="234">
        <v>3.5499999999999997E-2</v>
      </c>
      <c r="E52" s="1303"/>
      <c r="F52" s="1304"/>
      <c r="G52" s="1304"/>
      <c r="H52" s="1305"/>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77"/>
      <c r="B53" s="79">
        <v>2000</v>
      </c>
      <c r="C53" s="4">
        <v>1.7500000000000002E-2</v>
      </c>
      <c r="D53" s="234">
        <v>3.04E-2</v>
      </c>
      <c r="E53" s="1303"/>
      <c r="F53" s="1304"/>
      <c r="G53" s="1304"/>
      <c r="H53" s="1305"/>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77"/>
      <c r="B54" s="79">
        <v>2001</v>
      </c>
      <c r="C54" s="285">
        <v>1.0500000000000001E-2</v>
      </c>
      <c r="D54" s="234">
        <v>2.12E-2</v>
      </c>
      <c r="E54" s="1303"/>
      <c r="F54" s="1304"/>
      <c r="G54" s="1304"/>
      <c r="H54" s="1305"/>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77"/>
      <c r="B55" s="79">
        <v>2002</v>
      </c>
      <c r="C55" s="4">
        <v>1.0200000000000001E-2</v>
      </c>
      <c r="D55" s="234">
        <v>2.07E-2</v>
      </c>
      <c r="E55" s="1303"/>
      <c r="F55" s="1304"/>
      <c r="G55" s="1304"/>
      <c r="H55" s="1305"/>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627"/>
      <c r="B56" s="957">
        <v>2003</v>
      </c>
      <c r="C56" s="468">
        <v>9.4999999999999998E-3</v>
      </c>
      <c r="D56" s="626">
        <v>1.8100000000000002E-2</v>
      </c>
      <c r="E56" s="1288"/>
      <c r="F56" s="1289"/>
      <c r="G56" s="1289"/>
      <c r="H56" s="129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627"/>
      <c r="B57" s="957">
        <v>2004</v>
      </c>
      <c r="C57" s="468">
        <v>7.7999999999999996E-3</v>
      </c>
      <c r="D57" s="626">
        <v>8.5000000000000006E-3</v>
      </c>
      <c r="E57" s="1288"/>
      <c r="F57" s="1289"/>
      <c r="G57" s="1289"/>
      <c r="H57" s="129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627"/>
      <c r="B58" s="629">
        <v>2005</v>
      </c>
      <c r="C58" s="468">
        <v>7.4999999999999997E-3</v>
      </c>
      <c r="D58" s="626">
        <v>6.7000000000000002E-3</v>
      </c>
      <c r="E58" s="1288"/>
      <c r="F58" s="1289"/>
      <c r="G58" s="1289"/>
      <c r="H58" s="129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627"/>
      <c r="B59" s="629">
        <v>2006</v>
      </c>
      <c r="C59" s="630">
        <v>7.6E-3</v>
      </c>
      <c r="D59" s="631">
        <v>7.4999999999999997E-3</v>
      </c>
      <c r="E59" s="1288"/>
      <c r="F59" s="1289"/>
      <c r="G59" s="1289"/>
      <c r="H59" s="129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627"/>
      <c r="B60" s="629">
        <v>2007</v>
      </c>
      <c r="C60" s="630">
        <v>7.1999999999999998E-3</v>
      </c>
      <c r="D60" s="631">
        <v>5.1999999999999998E-3</v>
      </c>
      <c r="E60" s="1288"/>
      <c r="F60" s="1289"/>
      <c r="G60" s="1289"/>
      <c r="H60" s="129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627"/>
      <c r="B61" s="629">
        <v>2008</v>
      </c>
      <c r="C61" s="630">
        <v>7.1999999999999998E-3</v>
      </c>
      <c r="D61" s="631">
        <v>4.8999999999999998E-3</v>
      </c>
      <c r="E61" s="1288"/>
      <c r="F61" s="1289"/>
      <c r="G61" s="1289"/>
      <c r="H61" s="129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627"/>
      <c r="B62" s="971">
        <v>2009</v>
      </c>
      <c r="C62" s="972">
        <v>7.1000000000000004E-3</v>
      </c>
      <c r="D62" s="973">
        <v>4.5999999999999999E-3</v>
      </c>
      <c r="E62" s="1288"/>
      <c r="F62" s="1289"/>
      <c r="G62" s="1289"/>
      <c r="H62" s="129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627"/>
      <c r="B63" s="971">
        <v>2010</v>
      </c>
      <c r="C63" s="972">
        <v>7.1000000000000004E-3</v>
      </c>
      <c r="D63" s="973">
        <v>4.5999999999999999E-3</v>
      </c>
      <c r="E63" s="1288"/>
      <c r="F63" s="1289"/>
      <c r="G63" s="1289"/>
      <c r="H63" s="129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627"/>
      <c r="B64" s="971">
        <v>2011</v>
      </c>
      <c r="C64" s="972">
        <v>7.1000000000000004E-3</v>
      </c>
      <c r="D64" s="973">
        <v>4.5999999999999999E-3</v>
      </c>
      <c r="E64" s="1288"/>
      <c r="F64" s="1289"/>
      <c r="G64" s="1289"/>
      <c r="H64" s="129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627"/>
      <c r="B65" s="971">
        <v>2012</v>
      </c>
      <c r="C65" s="972">
        <v>7.1000000000000004E-3</v>
      </c>
      <c r="D65" s="973">
        <v>4.5999999999999999E-3</v>
      </c>
      <c r="E65" s="1288"/>
      <c r="F65" s="1289"/>
      <c r="G65" s="1289"/>
      <c r="H65" s="129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627"/>
      <c r="B66" s="971">
        <v>2013</v>
      </c>
      <c r="C66" s="972">
        <v>7.1000000000000004E-3</v>
      </c>
      <c r="D66" s="973">
        <v>4.5999999999999999E-3</v>
      </c>
      <c r="E66" s="1288"/>
      <c r="F66" s="1289"/>
      <c r="G66" s="1289"/>
      <c r="H66" s="129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627"/>
      <c r="B67" s="971">
        <v>2014</v>
      </c>
      <c r="C67" s="972">
        <v>7.1000000000000004E-3</v>
      </c>
      <c r="D67" s="973">
        <v>4.5999999999999999E-3</v>
      </c>
      <c r="E67" s="1288"/>
      <c r="F67" s="1289"/>
      <c r="G67" s="1289"/>
      <c r="H67" s="129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627"/>
      <c r="B68" s="971">
        <v>2015</v>
      </c>
      <c r="C68" s="972">
        <v>6.7999999999999996E-3</v>
      </c>
      <c r="D68" s="973">
        <v>4.1999999999999997E-3</v>
      </c>
      <c r="E68" s="1288"/>
      <c r="F68" s="1289"/>
      <c r="G68" s="1289"/>
      <c r="H68" s="129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627"/>
      <c r="B69" s="971">
        <v>2016</v>
      </c>
      <c r="C69" s="972">
        <v>6.4999999999999997E-3</v>
      </c>
      <c r="D69" s="973">
        <v>3.8E-3</v>
      </c>
      <c r="E69" s="1288"/>
      <c r="F69" s="1289"/>
      <c r="G69" s="1289"/>
      <c r="H69" s="129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627"/>
      <c r="B70" s="971">
        <v>2017</v>
      </c>
      <c r="C70" s="972">
        <v>5.4000000000000003E-3</v>
      </c>
      <c r="D70" s="973">
        <v>1.8E-3</v>
      </c>
      <c r="E70" s="1288"/>
      <c r="F70" s="1289"/>
      <c r="G70" s="1289"/>
      <c r="H70" s="129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ht="13.5" thickBot="1">
      <c r="A71" s="632"/>
      <c r="B71" s="633">
        <v>2018</v>
      </c>
      <c r="C71" s="634">
        <v>5.1999999999999998E-3</v>
      </c>
      <c r="D71" s="635">
        <v>1.6000000000000001E-3</v>
      </c>
      <c r="E71" s="1300"/>
      <c r="F71" s="1295"/>
      <c r="G71" s="1295"/>
      <c r="H71" s="1296"/>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627" t="s">
        <v>141</v>
      </c>
      <c r="B72" s="974" t="s">
        <v>1174</v>
      </c>
      <c r="C72" s="975">
        <v>8.1299999999999997E-2</v>
      </c>
      <c r="D72" s="461">
        <v>0.10349999999999999</v>
      </c>
      <c r="E72" s="1297"/>
      <c r="F72" s="1298"/>
      <c r="G72" s="1298"/>
      <c r="H72" s="1299"/>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627" t="s">
        <v>236</v>
      </c>
      <c r="B73" s="628">
        <v>1994</v>
      </c>
      <c r="C73" s="468">
        <v>6.4600000000000005E-2</v>
      </c>
      <c r="D73" s="626">
        <v>9.8199999999999996E-2</v>
      </c>
      <c r="E73" s="1288"/>
      <c r="F73" s="1289"/>
      <c r="G73" s="1289"/>
      <c r="H73" s="129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627"/>
      <c r="B74" s="628">
        <v>1995</v>
      </c>
      <c r="C74" s="468">
        <v>5.1700000000000003E-2</v>
      </c>
      <c r="D74" s="626">
        <v>9.0800000000000006E-2</v>
      </c>
      <c r="E74" s="1288"/>
      <c r="F74" s="1289"/>
      <c r="G74" s="1289"/>
      <c r="H74" s="129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627"/>
      <c r="B75" s="628">
        <v>1996</v>
      </c>
      <c r="C75" s="468">
        <v>4.5199999999999997E-2</v>
      </c>
      <c r="D75" s="626">
        <v>8.7099999999999997E-2</v>
      </c>
      <c r="E75" s="1288"/>
      <c r="F75" s="1289"/>
      <c r="G75" s="1289"/>
      <c r="H75" s="129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627"/>
      <c r="B76" s="628">
        <v>1997</v>
      </c>
      <c r="C76" s="468">
        <v>4.5199999999999997E-2</v>
      </c>
      <c r="D76" s="626">
        <v>8.7099999999999997E-2</v>
      </c>
      <c r="E76" s="1288"/>
      <c r="F76" s="1289"/>
      <c r="G76" s="1289"/>
      <c r="H76" s="129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627"/>
      <c r="B77" s="628">
        <v>1998</v>
      </c>
      <c r="C77" s="468">
        <v>4.1200000000000001E-2</v>
      </c>
      <c r="D77" s="626">
        <v>7.8700000000000006E-2</v>
      </c>
      <c r="E77" s="1288"/>
      <c r="F77" s="1289"/>
      <c r="G77" s="1289"/>
      <c r="H77" s="129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627"/>
      <c r="B78" s="628">
        <v>1999</v>
      </c>
      <c r="C78" s="468">
        <v>3.3300000000000003E-2</v>
      </c>
      <c r="D78" s="626">
        <v>6.1800000000000001E-2</v>
      </c>
      <c r="E78" s="1288"/>
      <c r="F78" s="1289"/>
      <c r="G78" s="1289"/>
      <c r="H78" s="129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627"/>
      <c r="B79" s="628">
        <v>2000</v>
      </c>
      <c r="C79" s="630">
        <v>3.4000000000000002E-2</v>
      </c>
      <c r="D79" s="626">
        <v>6.3100000000000003E-2</v>
      </c>
      <c r="E79" s="1288"/>
      <c r="F79" s="1289"/>
      <c r="G79" s="1289"/>
      <c r="H79" s="129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627"/>
      <c r="B80" s="628">
        <v>2001</v>
      </c>
      <c r="C80" s="468">
        <v>2.2100000000000002E-2</v>
      </c>
      <c r="D80" s="626">
        <v>3.7900000000000003E-2</v>
      </c>
      <c r="E80" s="1288"/>
      <c r="F80" s="1289"/>
      <c r="G80" s="1289"/>
      <c r="H80" s="129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627"/>
      <c r="B81" s="628">
        <v>2002</v>
      </c>
      <c r="C81" s="468">
        <v>2.4199999999999999E-2</v>
      </c>
      <c r="D81" s="626">
        <v>4.24E-2</v>
      </c>
      <c r="E81" s="1288"/>
      <c r="F81" s="1289"/>
      <c r="G81" s="1289"/>
      <c r="H81" s="129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627"/>
      <c r="B82" s="628">
        <v>2003</v>
      </c>
      <c r="C82" s="468">
        <v>2.2100000000000002E-2</v>
      </c>
      <c r="D82" s="631">
        <v>3.73E-2</v>
      </c>
      <c r="E82" s="1288"/>
      <c r="F82" s="1289"/>
      <c r="G82" s="1289"/>
      <c r="H82" s="129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627"/>
      <c r="B83" s="628">
        <v>2004</v>
      </c>
      <c r="C83" s="468">
        <v>1.15E-2</v>
      </c>
      <c r="D83" s="626">
        <v>8.8000000000000005E-3</v>
      </c>
      <c r="E83" s="1288"/>
      <c r="F83" s="1289"/>
      <c r="G83" s="1289"/>
      <c r="H83" s="129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627"/>
      <c r="B84" s="629">
        <v>2005</v>
      </c>
      <c r="C84" s="630">
        <v>1.0500000000000001E-2</v>
      </c>
      <c r="D84" s="626">
        <v>6.4000000000000003E-3</v>
      </c>
      <c r="E84" s="1288"/>
      <c r="F84" s="1289"/>
      <c r="G84" s="1289"/>
      <c r="H84" s="129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627"/>
      <c r="B85" s="629">
        <v>2006</v>
      </c>
      <c r="C85" s="630">
        <v>1.0800000000000001E-2</v>
      </c>
      <c r="D85" s="631">
        <v>8.0000000000000002E-3</v>
      </c>
      <c r="E85" s="1288"/>
      <c r="F85" s="1289"/>
      <c r="G85" s="1289"/>
      <c r="H85" s="129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627"/>
      <c r="B86" s="629">
        <v>2007</v>
      </c>
      <c r="C86" s="630">
        <v>1.03E-2</v>
      </c>
      <c r="D86" s="631">
        <v>6.1000000000000004E-3</v>
      </c>
      <c r="E86" s="1288"/>
      <c r="F86" s="1289"/>
      <c r="G86" s="1289"/>
      <c r="H86" s="129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627"/>
      <c r="B87" s="629">
        <v>2008</v>
      </c>
      <c r="C87" s="630">
        <v>9.4999999999999998E-3</v>
      </c>
      <c r="D87" s="631">
        <v>3.5999999999999999E-3</v>
      </c>
      <c r="E87" s="1288"/>
      <c r="F87" s="1289"/>
      <c r="G87" s="1289"/>
      <c r="H87" s="129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627"/>
      <c r="B88" s="629">
        <v>2009</v>
      </c>
      <c r="C88" s="630">
        <v>9.4999999999999998E-3</v>
      </c>
      <c r="D88" s="631">
        <v>3.5999999999999999E-3</v>
      </c>
      <c r="E88" s="1288"/>
      <c r="F88" s="1289"/>
      <c r="G88" s="1289"/>
      <c r="H88" s="129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627"/>
      <c r="B89" s="629">
        <v>2010</v>
      </c>
      <c r="C89" s="630">
        <v>9.4999999999999998E-3</v>
      </c>
      <c r="D89" s="631">
        <v>3.5000000000000001E-3</v>
      </c>
      <c r="E89" s="1288"/>
      <c r="F89" s="1289"/>
      <c r="G89" s="1289"/>
      <c r="H89" s="129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627"/>
      <c r="B90" s="629">
        <v>2011</v>
      </c>
      <c r="C90" s="630">
        <v>9.5999999999999992E-3</v>
      </c>
      <c r="D90" s="631">
        <v>3.3999999999999998E-3</v>
      </c>
      <c r="E90" s="1288"/>
      <c r="F90" s="1289"/>
      <c r="G90" s="1289"/>
      <c r="H90" s="129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627"/>
      <c r="B91" s="629">
        <v>2012</v>
      </c>
      <c r="C91" s="630">
        <v>9.5999999999999992E-3</v>
      </c>
      <c r="D91" s="631">
        <v>3.3E-3</v>
      </c>
      <c r="E91" s="1288"/>
      <c r="F91" s="1289"/>
      <c r="G91" s="1289"/>
      <c r="H91" s="129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627"/>
      <c r="B92" s="629">
        <v>2013</v>
      </c>
      <c r="C92" s="630">
        <v>9.4999999999999998E-3</v>
      </c>
      <c r="D92" s="631">
        <v>3.5000000000000001E-3</v>
      </c>
      <c r="E92" s="1288"/>
      <c r="F92" s="1289"/>
      <c r="G92" s="1289"/>
      <c r="H92" s="129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627"/>
      <c r="B93" s="629">
        <v>2014</v>
      </c>
      <c r="C93" s="630">
        <v>9.4999999999999998E-3</v>
      </c>
      <c r="D93" s="631">
        <v>3.3E-3</v>
      </c>
      <c r="E93" s="1288"/>
      <c r="F93" s="1289"/>
      <c r="G93" s="1289"/>
      <c r="H93" s="129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627"/>
      <c r="B94" s="629">
        <v>2015</v>
      </c>
      <c r="C94" s="630">
        <v>9.4000000000000004E-3</v>
      </c>
      <c r="D94" s="631">
        <v>3.0999999999999999E-3</v>
      </c>
      <c r="E94" s="1288"/>
      <c r="F94" s="1289"/>
      <c r="G94" s="1289"/>
      <c r="H94" s="129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627"/>
      <c r="B95" s="629">
        <v>2016</v>
      </c>
      <c r="C95" s="630">
        <v>9.1000000000000004E-3</v>
      </c>
      <c r="D95" s="631">
        <v>2.8999999999999998E-3</v>
      </c>
      <c r="E95" s="1288"/>
      <c r="F95" s="1289"/>
      <c r="G95" s="1289"/>
      <c r="H95" s="129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627"/>
      <c r="B96" s="629">
        <v>2017</v>
      </c>
      <c r="C96" s="630">
        <v>8.3999999999999995E-3</v>
      </c>
      <c r="D96" s="631">
        <v>1.8E-3</v>
      </c>
      <c r="E96" s="1288"/>
      <c r="F96" s="1289"/>
      <c r="G96" s="1289"/>
      <c r="H96" s="129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ht="13.5" thickBot="1">
      <c r="A97" s="627"/>
      <c r="B97" s="629">
        <v>2018</v>
      </c>
      <c r="C97" s="630">
        <v>8.0999999999999996E-3</v>
      </c>
      <c r="D97" s="631">
        <v>1.5E-3</v>
      </c>
      <c r="E97" s="1294" t="s">
        <v>1164</v>
      </c>
      <c r="F97" s="1295"/>
      <c r="G97" s="1295"/>
      <c r="H97" s="1296"/>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636" t="s">
        <v>237</v>
      </c>
      <c r="B98" s="75" t="s">
        <v>1175</v>
      </c>
      <c r="C98" s="637">
        <v>0.40899999999999997</v>
      </c>
      <c r="D98" s="638">
        <v>5.1499999999999997E-2</v>
      </c>
      <c r="E98" s="1297"/>
      <c r="F98" s="1298"/>
      <c r="G98" s="1298"/>
      <c r="H98" s="1299"/>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627"/>
      <c r="B99" s="79">
        <v>1987</v>
      </c>
      <c r="C99" s="468">
        <v>0.36749999999999999</v>
      </c>
      <c r="D99" s="639">
        <v>8.4900000000000003E-2</v>
      </c>
      <c r="E99" s="1288"/>
      <c r="F99" s="1289"/>
      <c r="G99" s="1289"/>
      <c r="H99" s="129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627"/>
      <c r="B100" s="79" t="s">
        <v>11</v>
      </c>
      <c r="C100" s="468">
        <v>0.34920000000000001</v>
      </c>
      <c r="D100" s="639">
        <v>9.3299999999999994E-2</v>
      </c>
      <c r="E100" s="1288"/>
      <c r="F100" s="1289"/>
      <c r="G100" s="1289"/>
      <c r="H100" s="129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627"/>
      <c r="B101" s="79" t="s">
        <v>12</v>
      </c>
      <c r="C101" s="468">
        <v>0.3246</v>
      </c>
      <c r="D101" s="639">
        <v>0.1142</v>
      </c>
      <c r="E101" s="1288"/>
      <c r="F101" s="1289"/>
      <c r="G101" s="1289"/>
      <c r="H101" s="129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627"/>
      <c r="B102" s="628">
        <v>1996</v>
      </c>
      <c r="C102" s="468">
        <v>0.1278</v>
      </c>
      <c r="D102" s="640">
        <v>0.16800000000000001</v>
      </c>
      <c r="E102" s="1288"/>
      <c r="F102" s="1289"/>
      <c r="G102" s="1289"/>
      <c r="H102" s="129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627"/>
      <c r="B103" s="628">
        <v>1997</v>
      </c>
      <c r="C103" s="468">
        <v>9.2399999999999996E-2</v>
      </c>
      <c r="D103" s="640">
        <v>0.1726</v>
      </c>
      <c r="E103" s="1288"/>
      <c r="F103" s="1289"/>
      <c r="G103" s="1289"/>
      <c r="H103" s="129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627"/>
      <c r="B104" s="628">
        <v>1998</v>
      </c>
      <c r="C104" s="468">
        <v>6.5500000000000003E-2</v>
      </c>
      <c r="D104" s="640">
        <v>0.17499999999999999</v>
      </c>
      <c r="E104" s="1288"/>
      <c r="F104" s="1289"/>
      <c r="G104" s="1289"/>
      <c r="H104" s="129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627"/>
      <c r="B105" s="628">
        <v>1999</v>
      </c>
      <c r="C105" s="468">
        <v>6.4799999999999996E-2</v>
      </c>
      <c r="D105" s="640">
        <v>0.1724</v>
      </c>
      <c r="E105" s="1288"/>
      <c r="F105" s="1289"/>
      <c r="G105" s="1289"/>
      <c r="H105" s="129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627"/>
      <c r="B106" s="628">
        <v>2000</v>
      </c>
      <c r="C106" s="630">
        <v>6.3E-2</v>
      </c>
      <c r="D106" s="640">
        <v>0.16600000000000001</v>
      </c>
      <c r="E106" s="1288"/>
      <c r="F106" s="1289"/>
      <c r="G106" s="1289"/>
      <c r="H106" s="129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627"/>
      <c r="B107" s="628">
        <v>2001</v>
      </c>
      <c r="C107" s="468">
        <v>5.7700000000000001E-2</v>
      </c>
      <c r="D107" s="640">
        <v>0.14680000000000001</v>
      </c>
      <c r="E107" s="1288"/>
      <c r="F107" s="1289"/>
      <c r="G107" s="1289"/>
      <c r="H107" s="129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627"/>
      <c r="B108" s="628">
        <v>2002</v>
      </c>
      <c r="C108" s="468">
        <v>6.3399999999999998E-2</v>
      </c>
      <c r="D108" s="640">
        <v>0.1673</v>
      </c>
      <c r="E108" s="1288"/>
      <c r="F108" s="1289"/>
      <c r="G108" s="1289"/>
      <c r="H108" s="129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627"/>
      <c r="B109" s="628">
        <v>2003</v>
      </c>
      <c r="C109" s="468">
        <v>6.0199999999999997E-2</v>
      </c>
      <c r="D109" s="640">
        <v>0.15529999999999999</v>
      </c>
      <c r="E109" s="1288"/>
      <c r="F109" s="1289"/>
      <c r="G109" s="1289"/>
      <c r="H109" s="129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627"/>
      <c r="B110" s="628">
        <v>2004</v>
      </c>
      <c r="C110" s="468">
        <v>2.98E-2</v>
      </c>
      <c r="D110" s="640">
        <v>1.6400000000000001E-2</v>
      </c>
      <c r="E110" s="1288"/>
      <c r="F110" s="1289"/>
      <c r="G110" s="1289"/>
      <c r="H110" s="129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627"/>
      <c r="B111" s="629">
        <v>2005</v>
      </c>
      <c r="C111" s="630">
        <v>2.9700000000000001E-2</v>
      </c>
      <c r="D111" s="640">
        <v>8.3000000000000001E-3</v>
      </c>
      <c r="E111" s="1288"/>
      <c r="F111" s="1289"/>
      <c r="G111" s="1289"/>
      <c r="H111" s="129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627"/>
      <c r="B112" s="629">
        <v>2006</v>
      </c>
      <c r="C112" s="676">
        <v>2.9899999999999999E-2</v>
      </c>
      <c r="D112" s="677">
        <v>2.41E-2</v>
      </c>
      <c r="E112" s="1288"/>
      <c r="F112" s="1289"/>
      <c r="G112" s="1289"/>
      <c r="H112" s="129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627"/>
      <c r="B113" s="629">
        <v>2007</v>
      </c>
      <c r="C113" s="676">
        <v>3.2199999999999999E-2</v>
      </c>
      <c r="D113" s="677">
        <v>1.5E-3</v>
      </c>
      <c r="E113" s="1288"/>
      <c r="F113" s="1289"/>
      <c r="G113" s="1289"/>
      <c r="H113" s="129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627"/>
      <c r="B114" s="629">
        <v>2008</v>
      </c>
      <c r="C114" s="676">
        <v>3.4000000000000002E-2</v>
      </c>
      <c r="D114" s="677">
        <v>1.5E-3</v>
      </c>
      <c r="E114" s="1288"/>
      <c r="F114" s="1289"/>
      <c r="G114" s="1289"/>
      <c r="H114" s="129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627"/>
      <c r="B115" s="629">
        <v>2009</v>
      </c>
      <c r="C115" s="676">
        <v>3.39E-2</v>
      </c>
      <c r="D115" s="677">
        <v>1.5E-3</v>
      </c>
      <c r="E115" s="1288"/>
      <c r="F115" s="1289"/>
      <c r="G115" s="1289"/>
      <c r="H115" s="129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627"/>
      <c r="B116" s="629">
        <v>2010</v>
      </c>
      <c r="C116" s="676">
        <v>3.2000000000000001E-2</v>
      </c>
      <c r="D116" s="677">
        <v>1.5E-3</v>
      </c>
      <c r="E116" s="1288"/>
      <c r="F116" s="1289"/>
      <c r="G116" s="1289"/>
      <c r="H116" s="129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627"/>
      <c r="B117" s="629">
        <v>2011</v>
      </c>
      <c r="C117" s="676">
        <v>3.04E-2</v>
      </c>
      <c r="D117" s="677">
        <v>1.5E-3</v>
      </c>
      <c r="E117" s="1288"/>
      <c r="F117" s="1289"/>
      <c r="G117" s="1289"/>
      <c r="H117" s="129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627"/>
      <c r="B118" s="629">
        <v>2012</v>
      </c>
      <c r="C118" s="676">
        <v>3.1300000000000001E-2</v>
      </c>
      <c r="D118" s="677">
        <v>1.5E-3</v>
      </c>
      <c r="E118" s="1288"/>
      <c r="F118" s="1289"/>
      <c r="G118" s="1289"/>
      <c r="H118" s="129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627"/>
      <c r="B119" s="629">
        <v>2013</v>
      </c>
      <c r="C119" s="676">
        <v>3.1300000000000001E-2</v>
      </c>
      <c r="D119" s="677">
        <v>1.5E-3</v>
      </c>
      <c r="E119" s="1288"/>
      <c r="F119" s="1289"/>
      <c r="G119" s="1289"/>
      <c r="H119" s="129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627"/>
      <c r="B120" s="629">
        <v>2014</v>
      </c>
      <c r="C120" s="676">
        <v>3.15E-2</v>
      </c>
      <c r="D120" s="677">
        <v>1.5E-3</v>
      </c>
      <c r="E120" s="1288"/>
      <c r="F120" s="1289"/>
      <c r="G120" s="1289"/>
      <c r="H120" s="129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627"/>
      <c r="B121" s="629">
        <v>2015</v>
      </c>
      <c r="C121" s="676">
        <v>3.32E-2</v>
      </c>
      <c r="D121" s="677">
        <v>2.0999999999999999E-3</v>
      </c>
      <c r="E121" s="1288"/>
      <c r="F121" s="1289"/>
      <c r="G121" s="1289"/>
      <c r="H121" s="129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627"/>
      <c r="B122" s="629">
        <v>2016</v>
      </c>
      <c r="C122" s="676">
        <v>3.2099999999999997E-2</v>
      </c>
      <c r="D122" s="677">
        <v>6.1000000000000004E-3</v>
      </c>
      <c r="E122" s="1288"/>
      <c r="F122" s="1289"/>
      <c r="G122" s="1289"/>
      <c r="H122" s="129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627"/>
      <c r="B123" s="629">
        <v>2017</v>
      </c>
      <c r="C123" s="676">
        <v>3.2899999999999999E-2</v>
      </c>
      <c r="D123" s="677">
        <v>8.3999999999999995E-3</v>
      </c>
      <c r="E123" s="1288"/>
      <c r="F123" s="1289"/>
      <c r="G123" s="1289"/>
      <c r="H123" s="129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ht="13.5" thickBot="1">
      <c r="A124" s="627"/>
      <c r="B124" s="629">
        <v>2018</v>
      </c>
      <c r="C124" s="676">
        <v>3.2599999999999997E-2</v>
      </c>
      <c r="D124" s="677">
        <v>8.2000000000000007E-3</v>
      </c>
      <c r="E124" s="1294" t="s">
        <v>1376</v>
      </c>
      <c r="F124" s="1295"/>
      <c r="G124" s="1295"/>
      <c r="H124" s="1296"/>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ht="12.75" customHeight="1">
      <c r="A125" s="1301" t="s">
        <v>855</v>
      </c>
      <c r="B125" s="767" t="s">
        <v>856</v>
      </c>
      <c r="C125" s="769">
        <v>8.9899999999999994E-2</v>
      </c>
      <c r="D125" s="770">
        <v>8.6999999999999994E-3</v>
      </c>
      <c r="E125" s="1297"/>
      <c r="F125" s="1298"/>
      <c r="G125" s="1298"/>
      <c r="H125" s="1299"/>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ht="13.5" thickBot="1">
      <c r="A126" s="1302"/>
      <c r="B126" s="768" t="s">
        <v>15</v>
      </c>
      <c r="C126" s="771">
        <v>6.7199999999999996E-2</v>
      </c>
      <c r="D126" s="772">
        <v>6.8999999999999999E-3</v>
      </c>
      <c r="E126" s="1300"/>
      <c r="F126" s="1295"/>
      <c r="G126" s="1295"/>
      <c r="H126" s="1296"/>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1283" t="s">
        <v>336</v>
      </c>
      <c r="B127" s="1283"/>
      <c r="C127" s="1283"/>
      <c r="D127" s="1283"/>
      <c r="E127" s="1283"/>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ht="13.15" customHeight="1">
      <c r="A128" s="924" t="s">
        <v>1176</v>
      </c>
      <c r="B128" s="925"/>
      <c r="C128" s="925"/>
      <c r="D128" s="925"/>
      <c r="E128" s="925"/>
      <c r="F128" s="230"/>
      <c r="G128" s="230"/>
      <c r="H128" s="674"/>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ht="13.5" thickBot="1">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ht="27.75" thickBot="1">
      <c r="A130" s="617" t="s">
        <v>145</v>
      </c>
      <c r="B130" s="976" t="s">
        <v>171</v>
      </c>
      <c r="C130" s="608" t="s">
        <v>304</v>
      </c>
      <c r="D130" s="274" t="s">
        <v>317</v>
      </c>
      <c r="E130" s="275" t="s">
        <v>310</v>
      </c>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1219" t="s">
        <v>144</v>
      </c>
      <c r="B131" s="1221" t="s">
        <v>1178</v>
      </c>
      <c r="C131" s="926" t="s">
        <v>13</v>
      </c>
      <c r="D131" s="977">
        <v>5.9999999999999995E-4</v>
      </c>
      <c r="E131" s="978">
        <v>1.1999999999999999E-3</v>
      </c>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1225"/>
      <c r="B132" s="1226"/>
      <c r="C132" s="927" t="s">
        <v>14</v>
      </c>
      <c r="D132" s="977">
        <v>5.0000000000000001E-4</v>
      </c>
      <c r="E132" s="978">
        <v>1E-3</v>
      </c>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1225"/>
      <c r="B133" s="1226"/>
      <c r="C133" s="927" t="s">
        <v>1192</v>
      </c>
      <c r="D133" s="977">
        <v>5.0000000000000001E-4</v>
      </c>
      <c r="E133" s="978">
        <v>1E-3</v>
      </c>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1309"/>
      <c r="B134" s="1332"/>
      <c r="C134" s="979" t="s">
        <v>1179</v>
      </c>
      <c r="D134" s="977">
        <v>3.0200000000000001E-2</v>
      </c>
      <c r="E134" s="978">
        <v>1.9199999999999998E-2</v>
      </c>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1310" t="s">
        <v>1180</v>
      </c>
      <c r="B135" s="1333" t="s">
        <v>1178</v>
      </c>
      <c r="C135" s="927" t="s">
        <v>13</v>
      </c>
      <c r="D135" s="980">
        <v>1.1000000000000001E-3</v>
      </c>
      <c r="E135" s="981">
        <v>1.6999999999999999E-3</v>
      </c>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1225"/>
      <c r="B136" s="1226"/>
      <c r="C136" s="927" t="s">
        <v>14</v>
      </c>
      <c r="D136" s="980">
        <v>8.9999999999999998E-4</v>
      </c>
      <c r="E136" s="981">
        <v>1.4E-3</v>
      </c>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1225"/>
      <c r="B137" s="1226"/>
      <c r="C137" s="927" t="s">
        <v>1192</v>
      </c>
      <c r="D137" s="980">
        <v>1E-3</v>
      </c>
      <c r="E137" s="981">
        <v>1.5E-3</v>
      </c>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1309"/>
      <c r="B138" s="1332"/>
      <c r="C138" s="927" t="s">
        <v>1179</v>
      </c>
      <c r="D138" s="980">
        <v>2.9000000000000001E-2</v>
      </c>
      <c r="E138" s="981">
        <v>2.1399999999999999E-2</v>
      </c>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1310" t="s">
        <v>1181</v>
      </c>
      <c r="B139" s="1333" t="s">
        <v>1178</v>
      </c>
      <c r="C139" s="927" t="s">
        <v>1182</v>
      </c>
      <c r="D139" s="977">
        <v>5.1000000000000004E-3</v>
      </c>
      <c r="E139" s="978">
        <v>4.7999999999999996E-3</v>
      </c>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1309"/>
      <c r="B140" s="1332"/>
      <c r="C140" s="927" t="s">
        <v>1179</v>
      </c>
      <c r="D140" s="977">
        <v>9.4999999999999998E-3</v>
      </c>
      <c r="E140" s="978">
        <v>4.3099999999999999E-2</v>
      </c>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1331" t="s">
        <v>1183</v>
      </c>
      <c r="B141" s="982" t="s">
        <v>1184</v>
      </c>
      <c r="C141" s="928"/>
      <c r="D141" s="977">
        <v>8.0000000000000002E-3</v>
      </c>
      <c r="E141" s="978">
        <v>6.0000000000000001E-3</v>
      </c>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1210"/>
      <c r="B142" s="982" t="s">
        <v>222</v>
      </c>
      <c r="C142" s="928"/>
      <c r="D142" s="977">
        <v>8.0000000000000002E-3</v>
      </c>
      <c r="E142" s="978">
        <v>6.0000000000000001E-3</v>
      </c>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1210"/>
      <c r="B143" s="982" t="s">
        <v>1185</v>
      </c>
      <c r="C143" s="928"/>
      <c r="D143" s="977">
        <v>8.2000000000000003E-2</v>
      </c>
      <c r="E143" s="978">
        <v>6.0000000000000001E-3</v>
      </c>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1210"/>
      <c r="B144" s="982" t="s">
        <v>1186</v>
      </c>
      <c r="C144" s="928"/>
      <c r="D144" s="977">
        <v>8.0000000000000002E-3</v>
      </c>
      <c r="E144" s="978">
        <v>6.0000000000000001E-3</v>
      </c>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1334"/>
      <c r="B145" s="982" t="s">
        <v>1187</v>
      </c>
      <c r="C145" s="928"/>
      <c r="D145" s="977">
        <v>0.03</v>
      </c>
      <c r="E145" s="978">
        <v>1.9E-2</v>
      </c>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1331" t="s">
        <v>1180</v>
      </c>
      <c r="B146" s="982" t="s">
        <v>222</v>
      </c>
      <c r="C146" s="928"/>
      <c r="D146" s="977">
        <v>1.2E-2</v>
      </c>
      <c r="E146" s="978">
        <v>1.0999999999999999E-2</v>
      </c>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1210"/>
      <c r="B147" s="982" t="s">
        <v>1185</v>
      </c>
      <c r="C147" s="928"/>
      <c r="D147" s="977">
        <v>0.123</v>
      </c>
      <c r="E147" s="978">
        <v>1.0999999999999999E-2</v>
      </c>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1210"/>
      <c r="B148" s="982" t="s">
        <v>1186</v>
      </c>
      <c r="C148" s="928"/>
      <c r="D148" s="977">
        <v>1.2E-2</v>
      </c>
      <c r="E148" s="978">
        <v>1.2999999999999999E-2</v>
      </c>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1210"/>
      <c r="B149" s="982" t="s">
        <v>1188</v>
      </c>
      <c r="C149" s="928"/>
      <c r="D149" s="977">
        <v>0.123</v>
      </c>
      <c r="E149" s="978">
        <v>1.0999999999999999E-2</v>
      </c>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1334"/>
      <c r="B150" s="982" t="s">
        <v>1187</v>
      </c>
      <c r="C150" s="928"/>
      <c r="D150" s="977">
        <v>2.9000000000000001E-2</v>
      </c>
      <c r="E150" s="978">
        <v>2.1000000000000001E-2</v>
      </c>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1331" t="s">
        <v>1189</v>
      </c>
      <c r="B151" s="982" t="s">
        <v>1185</v>
      </c>
      <c r="C151" s="928"/>
      <c r="D151" s="977">
        <v>4.2</v>
      </c>
      <c r="E151" s="978">
        <v>1E-3</v>
      </c>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1210"/>
      <c r="B152" s="982" t="s">
        <v>1186</v>
      </c>
      <c r="C152" s="928"/>
      <c r="D152" s="977">
        <v>1.4E-2</v>
      </c>
      <c r="E152" s="978">
        <v>3.4000000000000002E-2</v>
      </c>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1210"/>
      <c r="B153" s="982" t="s">
        <v>1188</v>
      </c>
      <c r="C153" s="928"/>
      <c r="D153" s="977">
        <v>4.2</v>
      </c>
      <c r="E153" s="978">
        <v>4.2999999999999997E-2</v>
      </c>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1334"/>
      <c r="B154" s="982" t="s">
        <v>1187</v>
      </c>
      <c r="C154" s="928"/>
      <c r="D154" s="977">
        <v>8.9999999999999993E-3</v>
      </c>
      <c r="E154" s="978">
        <v>1E-3</v>
      </c>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1331" t="s">
        <v>1190</v>
      </c>
      <c r="B155" s="982" t="s">
        <v>1184</v>
      </c>
      <c r="C155" s="928"/>
      <c r="D155" s="977">
        <v>7.4999999999999997E-2</v>
      </c>
      <c r="E155" s="978">
        <v>2.8000000000000001E-2</v>
      </c>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1210"/>
      <c r="B156" s="982" t="s">
        <v>222</v>
      </c>
      <c r="C156" s="928"/>
      <c r="D156" s="977">
        <v>7.4999999999999997E-2</v>
      </c>
      <c r="E156" s="978">
        <v>2.8000000000000001E-2</v>
      </c>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1210"/>
      <c r="B157" s="982" t="s">
        <v>1185</v>
      </c>
      <c r="C157" s="928"/>
      <c r="D157" s="977">
        <v>3.7</v>
      </c>
      <c r="E157" s="978">
        <v>1E-3</v>
      </c>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1210"/>
      <c r="B158" s="982" t="s">
        <v>1186</v>
      </c>
      <c r="C158" s="928"/>
      <c r="D158" s="977">
        <v>1.2999999999999999E-2</v>
      </c>
      <c r="E158" s="978">
        <v>2.5999999999999999E-2</v>
      </c>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1210"/>
      <c r="B159" s="982" t="s">
        <v>1188</v>
      </c>
      <c r="C159" s="928"/>
      <c r="D159" s="977">
        <v>3.7</v>
      </c>
      <c r="E159" s="978">
        <v>1E-3</v>
      </c>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1334"/>
      <c r="B160" s="982" t="s">
        <v>1187</v>
      </c>
      <c r="C160" s="928"/>
      <c r="D160" s="977">
        <v>8.9999999999999993E-3</v>
      </c>
      <c r="E160" s="978">
        <v>4.2999999999999997E-2</v>
      </c>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1331" t="s">
        <v>1191</v>
      </c>
      <c r="B161" s="982" t="s">
        <v>1184</v>
      </c>
      <c r="C161" s="928"/>
      <c r="D161" s="977">
        <v>2.1999999999999999E-2</v>
      </c>
      <c r="E161" s="978">
        <v>3.2000000000000001E-2</v>
      </c>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1210"/>
      <c r="B162" s="983" t="s">
        <v>222</v>
      </c>
      <c r="C162" s="928"/>
      <c r="D162" s="977">
        <v>2.1999999999999999E-2</v>
      </c>
      <c r="E162" s="978">
        <v>3.2000000000000001E-2</v>
      </c>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1210"/>
      <c r="B163" s="983" t="s">
        <v>1185</v>
      </c>
      <c r="C163" s="928"/>
      <c r="D163" s="977">
        <v>10</v>
      </c>
      <c r="E163" s="978">
        <v>1E-3</v>
      </c>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1210"/>
      <c r="B164" s="983" t="s">
        <v>1186</v>
      </c>
      <c r="C164" s="928"/>
      <c r="D164" s="977">
        <v>3.4000000000000002E-2</v>
      </c>
      <c r="E164" s="978">
        <v>1.7000000000000001E-2</v>
      </c>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1210"/>
      <c r="B165" s="983" t="s">
        <v>1188</v>
      </c>
      <c r="C165" s="928"/>
      <c r="D165" s="977">
        <v>10</v>
      </c>
      <c r="E165" s="978">
        <v>1E-3</v>
      </c>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ht="13.5" thickBot="1">
      <c r="A166" s="1211"/>
      <c r="B166" s="984" t="s">
        <v>1187</v>
      </c>
      <c r="C166" s="930"/>
      <c r="D166" s="985">
        <v>8.9999999999999993E-3</v>
      </c>
      <c r="E166" s="986">
        <v>4.2999999999999997E-2</v>
      </c>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931" t="s">
        <v>851</v>
      </c>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931" t="s">
        <v>1177</v>
      </c>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934" t="s">
        <v>850</v>
      </c>
      <c r="B169" s="230"/>
      <c r="C169" s="230"/>
      <c r="D169" s="230"/>
      <c r="E169" s="230"/>
      <c r="F169" s="230"/>
      <c r="G169" s="230"/>
      <c r="H169" s="230"/>
      <c r="I169" s="230"/>
      <c r="J169" s="326"/>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674"/>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ht="15" thickBot="1">
      <c r="A171" s="229" t="s">
        <v>849</v>
      </c>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ht="27.75" thickBot="1">
      <c r="A172" s="987" t="s">
        <v>145</v>
      </c>
      <c r="B172" s="976" t="s">
        <v>171</v>
      </c>
      <c r="C172" s="976" t="s">
        <v>852</v>
      </c>
      <c r="D172" s="988" t="s">
        <v>853</v>
      </c>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1209" t="s">
        <v>257</v>
      </c>
      <c r="B173" s="1080" t="s">
        <v>1195</v>
      </c>
      <c r="C173" s="1081" t="s">
        <v>1196</v>
      </c>
      <c r="D173" s="1082">
        <v>0.3</v>
      </c>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ht="13.5" thickBot="1">
      <c r="A174" s="1211"/>
      <c r="B174" s="992" t="s">
        <v>668</v>
      </c>
      <c r="C174" s="993">
        <v>7.06</v>
      </c>
      <c r="D174" s="994">
        <v>0.11</v>
      </c>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ht="13.15" customHeight="1">
      <c r="A175" s="1209" t="s">
        <v>1193</v>
      </c>
      <c r="B175" s="1080" t="s">
        <v>845</v>
      </c>
      <c r="C175" s="1083">
        <v>0.55000000000000004</v>
      </c>
      <c r="D175" s="1082">
        <v>0.55000000000000004</v>
      </c>
      <c r="E175" s="464"/>
      <c r="F175" s="464"/>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1210"/>
      <c r="B176" s="982" t="s">
        <v>1197</v>
      </c>
      <c r="C176" s="989">
        <v>4.88</v>
      </c>
      <c r="D176" s="990">
        <v>0.23</v>
      </c>
      <c r="E176" s="464"/>
      <c r="F176" s="464"/>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ht="13.5" thickBot="1">
      <c r="A177" s="1211"/>
      <c r="B177" s="992" t="s">
        <v>1178</v>
      </c>
      <c r="C177" s="993">
        <v>0.31</v>
      </c>
      <c r="D177" s="994">
        <v>0.5</v>
      </c>
      <c r="E177" s="464"/>
      <c r="F177" s="464"/>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ht="13.5" thickBot="1">
      <c r="A178" s="1036" t="s">
        <v>1194</v>
      </c>
      <c r="B178" s="991" t="s">
        <v>1178</v>
      </c>
      <c r="C178" s="1084">
        <v>0.8</v>
      </c>
      <c r="D178" s="1085">
        <v>0.26</v>
      </c>
      <c r="E178" s="464"/>
      <c r="F178" s="464"/>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1209" t="s">
        <v>1344</v>
      </c>
      <c r="B179" s="1080" t="s">
        <v>1197</v>
      </c>
      <c r="C179" s="1083">
        <v>5.48</v>
      </c>
      <c r="D179" s="1082">
        <v>0.2</v>
      </c>
      <c r="E179" s="464"/>
      <c r="F179" s="464"/>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1210"/>
      <c r="B180" s="982" t="s">
        <v>1178</v>
      </c>
      <c r="C180" s="989">
        <v>0.23</v>
      </c>
      <c r="D180" s="990">
        <v>0.47</v>
      </c>
      <c r="E180" s="464"/>
      <c r="F180" s="464"/>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ht="13.5" thickBot="1">
      <c r="A181" s="1211"/>
      <c r="B181" s="992" t="s">
        <v>1186</v>
      </c>
      <c r="C181" s="993">
        <v>0.44</v>
      </c>
      <c r="D181" s="994">
        <v>0.41</v>
      </c>
      <c r="E181" s="464"/>
      <c r="F181" s="464"/>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484" t="s">
        <v>336</v>
      </c>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935" t="s">
        <v>1198</v>
      </c>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ht="15.75" customHeight="1">
      <c r="A184" s="260"/>
      <c r="B184" s="230"/>
      <c r="C184" s="230"/>
      <c r="D184" s="230"/>
      <c r="E184" s="230"/>
      <c r="F184" s="230"/>
      <c r="G184" s="230"/>
      <c r="H184" s="230"/>
      <c r="I184" s="230"/>
      <c r="J184" s="326"/>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ht="15.75" customHeight="1" thickBot="1">
      <c r="A185" s="376" t="s">
        <v>369</v>
      </c>
      <c r="B185" s="377"/>
      <c r="C185" s="377"/>
      <c r="D185" s="377"/>
      <c r="E185" s="377"/>
      <c r="F185" s="377"/>
      <c r="G185" s="377"/>
      <c r="H185" s="377"/>
      <c r="I185" s="230"/>
      <c r="J185" s="326"/>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ht="15.75" customHeight="1" thickBot="1">
      <c r="A186" s="294" t="s">
        <v>31</v>
      </c>
      <c r="B186" s="295" t="s">
        <v>137</v>
      </c>
      <c r="C186" s="230"/>
      <c r="D186" s="230"/>
      <c r="E186" s="230"/>
      <c r="F186" s="230"/>
      <c r="G186" s="230"/>
      <c r="H186" s="230"/>
      <c r="I186" s="324"/>
      <c r="J186" s="326"/>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ht="15.75" customHeight="1">
      <c r="A187" s="939" t="s">
        <v>201</v>
      </c>
      <c r="B187" s="940">
        <v>1</v>
      </c>
      <c r="C187" s="469"/>
      <c r="D187" s="230"/>
      <c r="E187" s="230"/>
      <c r="F187" s="230"/>
      <c r="G187" s="230"/>
      <c r="H187" s="230"/>
      <c r="I187" s="324"/>
      <c r="J187" s="326"/>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ht="15.75" customHeight="1">
      <c r="A188" s="929" t="s">
        <v>276</v>
      </c>
      <c r="B188" s="941">
        <v>25</v>
      </c>
      <c r="C188" s="469"/>
      <c r="D188" s="230"/>
      <c r="E188" s="230"/>
      <c r="F188" s="230"/>
      <c r="G188" s="230"/>
      <c r="H188" s="230"/>
      <c r="I188" s="324"/>
      <c r="J188" s="326"/>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ht="15.75" customHeight="1">
      <c r="A189" s="929" t="s">
        <v>370</v>
      </c>
      <c r="B189" s="941">
        <v>298</v>
      </c>
      <c r="C189" s="469"/>
      <c r="D189" s="230"/>
      <c r="E189" s="230"/>
      <c r="F189" s="230"/>
      <c r="G189" s="230"/>
      <c r="H189" s="230"/>
      <c r="I189" s="324"/>
      <c r="J189" s="326"/>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ht="15.75" customHeight="1">
      <c r="A190" s="929" t="s">
        <v>129</v>
      </c>
      <c r="B190" s="941">
        <v>14800</v>
      </c>
      <c r="C190" s="469"/>
      <c r="D190" s="230"/>
      <c r="E190" s="230"/>
      <c r="F190" s="230"/>
      <c r="G190" s="230"/>
      <c r="H190" s="230"/>
      <c r="I190" s="324"/>
      <c r="J190" s="326"/>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ht="15.75" customHeight="1">
      <c r="A191" s="929" t="s">
        <v>130</v>
      </c>
      <c r="B191" s="941">
        <v>675</v>
      </c>
      <c r="C191" s="469"/>
      <c r="D191" s="230"/>
      <c r="E191" s="230"/>
      <c r="F191" s="230"/>
      <c r="G191" s="230"/>
      <c r="H191" s="230"/>
      <c r="I191" s="324"/>
      <c r="J191" s="326"/>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ht="15.75" customHeight="1">
      <c r="A192" s="929" t="s">
        <v>859</v>
      </c>
      <c r="B192" s="941">
        <v>92</v>
      </c>
      <c r="C192" s="469"/>
      <c r="D192" s="230"/>
      <c r="E192" s="230"/>
      <c r="F192" s="230"/>
      <c r="G192" s="230"/>
      <c r="H192" s="230"/>
      <c r="I192" s="324"/>
      <c r="J192" s="326"/>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256" ht="15.75" customHeight="1">
      <c r="A193" s="929" t="s">
        <v>131</v>
      </c>
      <c r="B193" s="941">
        <v>3500</v>
      </c>
      <c r="C193" s="469"/>
      <c r="D193" s="230"/>
      <c r="E193" s="230"/>
      <c r="F193" s="230"/>
      <c r="G193" s="230"/>
      <c r="H193" s="230"/>
      <c r="I193" s="324"/>
      <c r="J193" s="326"/>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256" ht="15.75" customHeight="1">
      <c r="A194" s="929" t="s">
        <v>860</v>
      </c>
      <c r="B194" s="941">
        <v>1100</v>
      </c>
      <c r="C194" s="469"/>
      <c r="D194" s="230"/>
      <c r="E194" s="230"/>
      <c r="F194" s="230"/>
      <c r="G194" s="230"/>
      <c r="H194" s="230"/>
      <c r="I194" s="324"/>
      <c r="J194" s="326"/>
      <c r="K194" s="230"/>
      <c r="L194" s="230"/>
      <c r="M194" s="230"/>
      <c r="N194" s="230"/>
      <c r="O194" s="230"/>
      <c r="P194" s="230"/>
      <c r="Q194" s="230"/>
      <c r="R194" s="230"/>
      <c r="S194" s="230"/>
      <c r="T194" s="230"/>
      <c r="U194" s="230"/>
      <c r="V194" s="230"/>
      <c r="W194" s="230"/>
      <c r="X194" s="230"/>
      <c r="Y194" s="230"/>
      <c r="Z194" s="230"/>
      <c r="AA194" s="230"/>
      <c r="AB194" s="230"/>
      <c r="AC194" s="230"/>
      <c r="AD194" s="230"/>
      <c r="IV194" s="774">
        <f>SUM(B194:IU194)</f>
        <v>1100</v>
      </c>
    </row>
    <row r="195" spans="1:256" ht="15.75" customHeight="1">
      <c r="A195" s="929" t="s">
        <v>132</v>
      </c>
      <c r="B195" s="941">
        <v>1430</v>
      </c>
      <c r="C195" s="469"/>
      <c r="D195" s="230"/>
      <c r="E195" s="230"/>
      <c r="F195" s="230"/>
      <c r="G195" s="230"/>
      <c r="H195" s="230"/>
      <c r="I195" s="324"/>
      <c r="J195" s="326"/>
      <c r="K195" s="230"/>
      <c r="L195" s="230"/>
      <c r="M195" s="230"/>
      <c r="N195" s="230"/>
      <c r="O195" s="230"/>
      <c r="P195" s="230"/>
      <c r="Q195" s="230"/>
      <c r="R195" s="230"/>
      <c r="S195" s="230"/>
      <c r="T195" s="230"/>
      <c r="U195" s="230"/>
      <c r="V195" s="230"/>
      <c r="W195" s="230"/>
      <c r="X195" s="230"/>
      <c r="Y195" s="230"/>
      <c r="Z195" s="230"/>
      <c r="AA195" s="230"/>
      <c r="AB195" s="230"/>
      <c r="AC195" s="230"/>
      <c r="AD195" s="230"/>
      <c r="IV195" s="774"/>
    </row>
    <row r="196" spans="1:256" ht="15.75" customHeight="1">
      <c r="A196" s="929" t="s">
        <v>861</v>
      </c>
      <c r="B196" s="941">
        <v>353</v>
      </c>
      <c r="C196" s="469"/>
      <c r="D196" s="230"/>
      <c r="E196" s="230"/>
      <c r="F196" s="230"/>
      <c r="G196" s="230"/>
      <c r="H196" s="230"/>
      <c r="I196" s="324"/>
      <c r="J196" s="326"/>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256" ht="15.75" customHeight="1">
      <c r="A197" s="912" t="s">
        <v>133</v>
      </c>
      <c r="B197" s="941">
        <v>4470</v>
      </c>
      <c r="C197" s="469"/>
      <c r="D197" s="230"/>
      <c r="E197" s="230"/>
      <c r="F197" s="230"/>
      <c r="G197" s="230"/>
      <c r="H197" s="230"/>
      <c r="I197" s="324"/>
      <c r="J197" s="326"/>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256" ht="15.75" customHeight="1">
      <c r="A198" s="929" t="s">
        <v>862</v>
      </c>
      <c r="B198" s="941">
        <v>53</v>
      </c>
      <c r="C198" s="469"/>
      <c r="D198" s="230"/>
      <c r="E198" s="230"/>
      <c r="F198" s="230"/>
      <c r="G198" s="230"/>
      <c r="H198" s="230"/>
      <c r="I198" s="324"/>
      <c r="J198" s="326"/>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256" ht="15.75" customHeight="1">
      <c r="A199" s="929" t="s">
        <v>134</v>
      </c>
      <c r="B199" s="941">
        <v>124</v>
      </c>
      <c r="C199" s="469"/>
      <c r="D199" s="230"/>
      <c r="E199" s="230"/>
      <c r="F199" s="230"/>
      <c r="G199" s="230"/>
      <c r="H199" s="230"/>
      <c r="I199" s="324"/>
      <c r="J199" s="326"/>
      <c r="K199" s="230"/>
      <c r="L199" s="230"/>
      <c r="M199" s="230"/>
      <c r="N199" s="230"/>
      <c r="O199" s="230"/>
      <c r="P199" s="230"/>
      <c r="Q199" s="230"/>
      <c r="R199" s="230"/>
      <c r="S199" s="230"/>
      <c r="T199" s="230"/>
      <c r="U199" s="230"/>
      <c r="V199" s="230"/>
      <c r="W199" s="230"/>
      <c r="X199" s="230"/>
      <c r="Y199" s="230"/>
      <c r="Z199" s="230"/>
      <c r="AA199" s="230"/>
      <c r="AB199" s="230"/>
      <c r="AC199" s="230"/>
      <c r="AD199" s="230"/>
    </row>
    <row r="200" spans="1:256" ht="15.75" customHeight="1">
      <c r="A200" s="929" t="s">
        <v>863</v>
      </c>
      <c r="B200" s="941">
        <v>12</v>
      </c>
      <c r="C200" s="469"/>
      <c r="D200" s="230"/>
      <c r="E200" s="230"/>
      <c r="F200" s="230"/>
      <c r="G200" s="230"/>
      <c r="H200" s="230"/>
      <c r="I200" s="324"/>
      <c r="J200" s="326"/>
      <c r="K200" s="230"/>
      <c r="L200" s="230"/>
      <c r="M200" s="230"/>
      <c r="N200" s="230"/>
      <c r="O200" s="230"/>
      <c r="P200" s="230"/>
      <c r="Q200" s="230"/>
      <c r="R200" s="230"/>
      <c r="S200" s="230"/>
      <c r="T200" s="230"/>
      <c r="U200" s="230"/>
      <c r="V200" s="230"/>
      <c r="W200" s="230"/>
      <c r="X200" s="230"/>
      <c r="Y200" s="230"/>
      <c r="Z200" s="230"/>
      <c r="AA200" s="230"/>
      <c r="AB200" s="230"/>
      <c r="AC200" s="230"/>
      <c r="AD200" s="230"/>
    </row>
    <row r="201" spans="1:256" ht="15.75" customHeight="1">
      <c r="A201" s="929" t="s">
        <v>135</v>
      </c>
      <c r="B201" s="941">
        <v>3220</v>
      </c>
      <c r="C201" s="469"/>
      <c r="D201" s="230"/>
      <c r="E201" s="230"/>
      <c r="F201" s="230"/>
      <c r="G201" s="230"/>
      <c r="H201" s="230"/>
      <c r="I201" s="324"/>
      <c r="J201" s="326"/>
      <c r="K201" s="230"/>
      <c r="L201" s="230"/>
      <c r="M201" s="230"/>
      <c r="N201" s="230"/>
      <c r="O201" s="230"/>
      <c r="P201" s="230"/>
      <c r="Q201" s="230"/>
      <c r="R201" s="230"/>
      <c r="S201" s="230"/>
      <c r="T201" s="230"/>
      <c r="U201" s="230"/>
      <c r="V201" s="230"/>
      <c r="W201" s="230"/>
      <c r="X201" s="230"/>
      <c r="Y201" s="230"/>
      <c r="Z201" s="230"/>
      <c r="AA201" s="230"/>
      <c r="AB201" s="230"/>
      <c r="AC201" s="230"/>
      <c r="AD201" s="230"/>
    </row>
    <row r="202" spans="1:256" ht="15.75" customHeight="1">
      <c r="A202" s="929" t="s">
        <v>864</v>
      </c>
      <c r="B202" s="941">
        <v>1340</v>
      </c>
      <c r="C202" s="469"/>
      <c r="D202" s="230"/>
      <c r="E202" s="230"/>
      <c r="F202" s="230"/>
      <c r="G202" s="230"/>
      <c r="H202" s="230"/>
      <c r="I202" s="324"/>
      <c r="J202" s="326"/>
      <c r="K202" s="230"/>
      <c r="L202" s="230"/>
      <c r="M202" s="230"/>
      <c r="N202" s="230"/>
      <c r="O202" s="230"/>
      <c r="P202" s="230"/>
      <c r="Q202" s="230"/>
      <c r="R202" s="230"/>
      <c r="S202" s="230"/>
      <c r="T202" s="230"/>
      <c r="U202" s="230"/>
      <c r="V202" s="230"/>
      <c r="W202" s="230"/>
      <c r="X202" s="230"/>
      <c r="Y202" s="230"/>
      <c r="Z202" s="230"/>
      <c r="AA202" s="230"/>
      <c r="AB202" s="230"/>
      <c r="AC202" s="230"/>
      <c r="AD202" s="230"/>
    </row>
    <row r="203" spans="1:256" ht="15.75" customHeight="1">
      <c r="A203" s="929" t="s">
        <v>865</v>
      </c>
      <c r="B203" s="941">
        <v>1370</v>
      </c>
      <c r="C203" s="469"/>
      <c r="D203" s="230"/>
      <c r="E203" s="230"/>
      <c r="F203" s="230"/>
      <c r="G203" s="230"/>
      <c r="H203" s="230"/>
      <c r="I203" s="324"/>
      <c r="J203" s="326"/>
      <c r="K203" s="230"/>
      <c r="L203" s="230"/>
      <c r="M203" s="230"/>
      <c r="N203" s="230"/>
      <c r="O203" s="230"/>
      <c r="P203" s="230"/>
      <c r="Q203" s="230"/>
      <c r="R203" s="230"/>
      <c r="S203" s="230"/>
      <c r="T203" s="230"/>
      <c r="U203" s="230"/>
      <c r="V203" s="230"/>
      <c r="W203" s="230"/>
      <c r="X203" s="230"/>
      <c r="Y203" s="230"/>
      <c r="Z203" s="230"/>
      <c r="AA203" s="230"/>
      <c r="AB203" s="230"/>
      <c r="AC203" s="230"/>
      <c r="AD203" s="230"/>
    </row>
    <row r="204" spans="1:256" ht="15.75" customHeight="1">
      <c r="A204" s="929" t="s">
        <v>136</v>
      </c>
      <c r="B204" s="941">
        <v>9810</v>
      </c>
      <c r="C204" s="469"/>
      <c r="D204" s="230"/>
      <c r="E204" s="230"/>
      <c r="F204" s="230"/>
      <c r="G204" s="230"/>
      <c r="H204" s="230"/>
      <c r="I204" s="324"/>
      <c r="J204" s="326"/>
      <c r="K204" s="230"/>
      <c r="L204" s="230"/>
      <c r="M204" s="230"/>
      <c r="N204" s="230"/>
      <c r="O204" s="230"/>
      <c r="P204" s="230"/>
      <c r="Q204" s="230"/>
      <c r="R204" s="230"/>
      <c r="S204" s="230"/>
      <c r="T204" s="230"/>
      <c r="U204" s="230"/>
      <c r="V204" s="230"/>
      <c r="W204" s="230"/>
      <c r="X204" s="230"/>
      <c r="Y204" s="230"/>
      <c r="Z204" s="230"/>
      <c r="AA204" s="230"/>
      <c r="AB204" s="230"/>
      <c r="AC204" s="230"/>
      <c r="AD204" s="230"/>
    </row>
    <row r="205" spans="1:256" ht="15.75" customHeight="1">
      <c r="A205" s="912" t="s">
        <v>866</v>
      </c>
      <c r="B205" s="941">
        <v>693</v>
      </c>
      <c r="C205" s="469"/>
      <c r="D205" s="230"/>
      <c r="E205" s="230"/>
      <c r="F205" s="230"/>
      <c r="G205" s="230"/>
      <c r="H205" s="230"/>
      <c r="I205" s="324"/>
      <c r="J205" s="326"/>
      <c r="K205" s="230"/>
      <c r="L205" s="230"/>
      <c r="M205" s="230"/>
      <c r="N205" s="230"/>
      <c r="O205" s="230"/>
      <c r="P205" s="230"/>
      <c r="Q205" s="230"/>
      <c r="R205" s="230"/>
      <c r="S205" s="230"/>
      <c r="T205" s="230"/>
      <c r="U205" s="230"/>
      <c r="V205" s="230"/>
      <c r="W205" s="230"/>
      <c r="X205" s="230"/>
      <c r="Y205" s="230"/>
      <c r="Z205" s="230"/>
      <c r="AA205" s="230"/>
      <c r="AB205" s="230"/>
      <c r="AC205" s="230"/>
      <c r="AD205" s="230"/>
    </row>
    <row r="206" spans="1:256" ht="15.75" customHeight="1">
      <c r="A206" s="929" t="s">
        <v>867</v>
      </c>
      <c r="B206" s="941">
        <v>1030</v>
      </c>
      <c r="C206" s="469"/>
      <c r="D206" s="230"/>
      <c r="E206" s="230"/>
      <c r="F206" s="230"/>
      <c r="G206" s="230"/>
      <c r="H206" s="230"/>
      <c r="I206" s="324"/>
      <c r="J206" s="326"/>
      <c r="K206" s="230"/>
      <c r="L206" s="230"/>
      <c r="M206" s="230"/>
      <c r="N206" s="230"/>
      <c r="O206" s="230"/>
      <c r="P206" s="230"/>
      <c r="Q206" s="230"/>
      <c r="R206" s="230"/>
      <c r="S206" s="230"/>
      <c r="T206" s="230"/>
      <c r="U206" s="230"/>
      <c r="V206" s="230"/>
      <c r="W206" s="230"/>
      <c r="X206" s="230"/>
      <c r="Y206" s="230"/>
      <c r="Z206" s="230"/>
      <c r="AA206" s="230"/>
      <c r="AB206" s="230"/>
      <c r="AC206" s="230"/>
      <c r="AD206" s="230"/>
    </row>
    <row r="207" spans="1:256" ht="15.75" customHeight="1">
      <c r="A207" s="929" t="s">
        <v>868</v>
      </c>
      <c r="B207" s="941">
        <v>794</v>
      </c>
      <c r="C207" s="469"/>
      <c r="D207" s="230"/>
      <c r="E207" s="230"/>
      <c r="F207" s="230"/>
      <c r="G207" s="230"/>
      <c r="H207" s="230"/>
      <c r="I207" s="324"/>
      <c r="J207" s="326"/>
      <c r="K207" s="230"/>
      <c r="L207" s="230"/>
      <c r="M207" s="230"/>
      <c r="N207" s="230"/>
      <c r="O207" s="230"/>
      <c r="P207" s="230"/>
      <c r="Q207" s="230"/>
      <c r="R207" s="230"/>
      <c r="S207" s="230"/>
      <c r="T207" s="230"/>
      <c r="U207" s="230"/>
      <c r="V207" s="230"/>
      <c r="W207" s="230"/>
      <c r="X207" s="230"/>
      <c r="Y207" s="230"/>
      <c r="Z207" s="230"/>
      <c r="AA207" s="230"/>
      <c r="AB207" s="230"/>
      <c r="AC207" s="230"/>
      <c r="AD207" s="230"/>
    </row>
    <row r="208" spans="1:256" ht="15.75" customHeight="1">
      <c r="A208" s="912" t="s">
        <v>869</v>
      </c>
      <c r="B208" s="941">
        <v>1640</v>
      </c>
      <c r="C208" s="469"/>
      <c r="D208" s="230"/>
      <c r="E208" s="230"/>
      <c r="F208" s="230"/>
      <c r="G208" s="230"/>
      <c r="H208" s="230"/>
      <c r="I208" s="324"/>
      <c r="J208" s="326"/>
      <c r="K208" s="230"/>
      <c r="L208" s="230"/>
      <c r="M208" s="230"/>
      <c r="N208" s="230"/>
      <c r="O208" s="230"/>
      <c r="P208" s="230"/>
      <c r="Q208" s="230"/>
      <c r="R208" s="230"/>
      <c r="S208" s="230"/>
      <c r="T208" s="230"/>
      <c r="U208" s="230"/>
      <c r="V208" s="230"/>
      <c r="W208" s="230"/>
      <c r="X208" s="230"/>
      <c r="Y208" s="230"/>
      <c r="Z208" s="230"/>
      <c r="AA208" s="230"/>
      <c r="AB208" s="230"/>
      <c r="AC208" s="230"/>
      <c r="AD208" s="230"/>
    </row>
    <row r="209" spans="1:30" ht="15.75" customHeight="1">
      <c r="A209" s="929" t="s">
        <v>116</v>
      </c>
      <c r="B209" s="941">
        <v>22800</v>
      </c>
      <c r="C209" s="469"/>
      <c r="D209" s="230"/>
      <c r="E209" s="230"/>
      <c r="F209" s="230"/>
      <c r="G209" s="230"/>
      <c r="H209" s="230"/>
      <c r="I209" s="324"/>
      <c r="J209" s="326"/>
      <c r="K209" s="230"/>
      <c r="L209" s="230"/>
      <c r="M209" s="230"/>
      <c r="N209" s="230"/>
      <c r="O209" s="230"/>
      <c r="P209" s="230"/>
      <c r="Q209" s="230"/>
      <c r="R209" s="230"/>
      <c r="S209" s="230"/>
      <c r="T209" s="230"/>
      <c r="U209" s="230"/>
      <c r="V209" s="230"/>
      <c r="W209" s="230"/>
      <c r="X209" s="230"/>
      <c r="Y209" s="230"/>
      <c r="Z209" s="230"/>
      <c r="AA209" s="230"/>
      <c r="AB209" s="230"/>
      <c r="AC209" s="230"/>
      <c r="AD209" s="230"/>
    </row>
    <row r="210" spans="1:30" ht="15.75" customHeight="1">
      <c r="A210" s="929" t="s">
        <v>769</v>
      </c>
      <c r="B210" s="941">
        <v>17200</v>
      </c>
      <c r="C210" s="469"/>
      <c r="D210" s="230"/>
      <c r="E210" s="230"/>
      <c r="F210" s="230"/>
      <c r="G210" s="230"/>
      <c r="H210" s="230"/>
      <c r="I210" s="324"/>
      <c r="J210" s="326"/>
      <c r="K210" s="230"/>
      <c r="L210" s="230"/>
      <c r="M210" s="230"/>
      <c r="N210" s="230"/>
      <c r="O210" s="230"/>
      <c r="P210" s="230"/>
      <c r="Q210" s="230"/>
      <c r="R210" s="230"/>
      <c r="S210" s="230"/>
      <c r="T210" s="230"/>
      <c r="U210" s="230"/>
      <c r="V210" s="230"/>
      <c r="W210" s="230"/>
      <c r="X210" s="230"/>
      <c r="Y210" s="230"/>
      <c r="Z210" s="230"/>
      <c r="AA210" s="230"/>
      <c r="AB210" s="230"/>
      <c r="AC210" s="230"/>
      <c r="AD210" s="230"/>
    </row>
    <row r="211" spans="1:30" ht="15.75" customHeight="1">
      <c r="A211" s="929" t="s">
        <v>1072</v>
      </c>
      <c r="B211" s="941">
        <v>7390</v>
      </c>
      <c r="C211" s="469"/>
      <c r="D211" s="230"/>
      <c r="E211" s="230"/>
      <c r="F211" s="230"/>
      <c r="G211" s="230"/>
      <c r="H211" s="230"/>
      <c r="I211" s="324"/>
      <c r="J211" s="326"/>
      <c r="K211" s="230"/>
      <c r="L211" s="230"/>
      <c r="M211" s="230"/>
      <c r="N211" s="230"/>
      <c r="O211" s="230"/>
      <c r="P211" s="230"/>
      <c r="Q211" s="230"/>
      <c r="R211" s="230"/>
      <c r="S211" s="230"/>
      <c r="T211" s="230"/>
      <c r="U211" s="230"/>
      <c r="V211" s="230"/>
      <c r="W211" s="230"/>
      <c r="X211" s="230"/>
      <c r="Y211" s="230"/>
      <c r="Z211" s="230"/>
      <c r="AA211" s="230"/>
      <c r="AB211" s="230"/>
      <c r="AC211" s="230"/>
      <c r="AD211" s="230"/>
    </row>
    <row r="212" spans="1:30" ht="15.75" customHeight="1">
      <c r="A212" s="912" t="s">
        <v>115</v>
      </c>
      <c r="B212" s="941">
        <v>12200</v>
      </c>
      <c r="C212" s="469"/>
      <c r="D212" s="230"/>
      <c r="E212" s="230"/>
      <c r="F212" s="230"/>
      <c r="G212" s="230"/>
      <c r="H212" s="230"/>
      <c r="I212" s="324"/>
      <c r="J212" s="326"/>
      <c r="K212" s="230"/>
      <c r="L212" s="230"/>
      <c r="M212" s="230"/>
      <c r="N212" s="230"/>
      <c r="O212" s="230"/>
      <c r="P212" s="230"/>
      <c r="Q212" s="230"/>
      <c r="R212" s="230"/>
      <c r="S212" s="230"/>
      <c r="T212" s="230"/>
      <c r="U212" s="230"/>
      <c r="V212" s="230"/>
      <c r="W212" s="230"/>
      <c r="X212" s="230"/>
      <c r="Y212" s="230"/>
      <c r="Z212" s="230"/>
      <c r="AA212" s="230"/>
      <c r="AB212" s="230"/>
      <c r="AC212" s="230"/>
      <c r="AD212" s="230"/>
    </row>
    <row r="213" spans="1:30" ht="15.75" customHeight="1">
      <c r="A213" s="912" t="s">
        <v>625</v>
      </c>
      <c r="B213" s="941">
        <v>8830</v>
      </c>
      <c r="C213" s="469"/>
      <c r="D213" s="230"/>
      <c r="E213" s="230"/>
      <c r="F213" s="230"/>
      <c r="G213" s="230"/>
      <c r="H213" s="230"/>
      <c r="I213" s="324"/>
      <c r="J213" s="326"/>
      <c r="K213" s="230"/>
      <c r="L213" s="230"/>
      <c r="M213" s="230"/>
      <c r="N213" s="230"/>
      <c r="O213" s="230"/>
      <c r="P213" s="230"/>
      <c r="Q213" s="230"/>
      <c r="R213" s="230"/>
      <c r="S213" s="230"/>
      <c r="T213" s="230"/>
      <c r="U213" s="230"/>
      <c r="V213" s="230"/>
      <c r="W213" s="230"/>
      <c r="X213" s="230"/>
      <c r="Y213" s="230"/>
      <c r="Z213" s="230"/>
      <c r="AA213" s="230"/>
      <c r="AB213" s="230"/>
      <c r="AC213" s="230"/>
      <c r="AD213" s="230"/>
    </row>
    <row r="214" spans="1:30" ht="15.75" customHeight="1">
      <c r="A214" s="912" t="s">
        <v>627</v>
      </c>
      <c r="B214" s="941">
        <v>10300</v>
      </c>
      <c r="C214" s="469"/>
      <c r="D214" s="230"/>
      <c r="E214" s="230"/>
      <c r="F214" s="230"/>
      <c r="G214" s="230"/>
      <c r="H214" s="230"/>
      <c r="I214" s="324"/>
      <c r="J214" s="326"/>
      <c r="K214" s="230"/>
      <c r="L214" s="230"/>
      <c r="M214" s="230"/>
      <c r="N214" s="230"/>
      <c r="O214" s="230"/>
      <c r="P214" s="230"/>
      <c r="Q214" s="230"/>
      <c r="R214" s="230"/>
      <c r="S214" s="230"/>
      <c r="T214" s="230"/>
      <c r="U214" s="230"/>
      <c r="V214" s="230"/>
      <c r="W214" s="230"/>
      <c r="X214" s="230"/>
      <c r="Y214" s="230"/>
      <c r="Z214" s="230"/>
      <c r="AA214" s="230"/>
      <c r="AB214" s="230"/>
      <c r="AC214" s="230"/>
      <c r="AD214" s="230"/>
    </row>
    <row r="215" spans="1:30" ht="15.75" customHeight="1">
      <c r="A215" s="912" t="s">
        <v>626</v>
      </c>
      <c r="B215" s="941">
        <v>8860</v>
      </c>
      <c r="C215" s="469"/>
      <c r="D215" s="230"/>
      <c r="E215" s="230"/>
      <c r="F215" s="230"/>
      <c r="G215" s="230"/>
      <c r="H215" s="230"/>
      <c r="I215" s="324"/>
      <c r="J215" s="326"/>
      <c r="K215" s="230"/>
      <c r="L215" s="230"/>
      <c r="M215" s="230"/>
      <c r="N215" s="230"/>
      <c r="O215" s="230"/>
      <c r="P215" s="230"/>
      <c r="Q215" s="230"/>
      <c r="R215" s="230"/>
      <c r="S215" s="230"/>
      <c r="T215" s="230"/>
      <c r="U215" s="230"/>
      <c r="V215" s="230"/>
      <c r="W215" s="230"/>
      <c r="X215" s="230"/>
      <c r="Y215" s="230"/>
      <c r="Z215" s="230"/>
      <c r="AA215" s="230"/>
      <c r="AB215" s="230"/>
      <c r="AC215" s="230"/>
      <c r="AD215" s="230"/>
    </row>
    <row r="216" spans="1:30" ht="15.75">
      <c r="A216" s="912" t="s">
        <v>628</v>
      </c>
      <c r="B216" s="941">
        <v>9160</v>
      </c>
      <c r="C216" s="469"/>
      <c r="D216" s="230"/>
      <c r="E216" s="230"/>
      <c r="F216" s="230"/>
      <c r="G216" s="230"/>
      <c r="H216" s="230"/>
      <c r="I216" s="324"/>
      <c r="J216" s="326"/>
      <c r="K216" s="230"/>
      <c r="L216" s="230"/>
      <c r="M216" s="230"/>
      <c r="N216" s="230"/>
      <c r="O216" s="230"/>
      <c r="P216" s="230"/>
      <c r="Q216" s="230"/>
      <c r="R216" s="230"/>
      <c r="S216" s="230"/>
      <c r="T216" s="230"/>
      <c r="U216" s="230"/>
      <c r="V216" s="230"/>
      <c r="W216" s="230"/>
      <c r="X216" s="230"/>
      <c r="Y216" s="230"/>
      <c r="Z216" s="230"/>
      <c r="AA216" s="230"/>
      <c r="AB216" s="230"/>
      <c r="AC216" s="230"/>
      <c r="AD216" s="230"/>
    </row>
    <row r="217" spans="1:30" ht="15.75">
      <c r="A217" s="912" t="s">
        <v>629</v>
      </c>
      <c r="B217" s="941">
        <v>9300</v>
      </c>
      <c r="C217" s="469"/>
      <c r="D217" s="230"/>
      <c r="E217" s="230"/>
      <c r="F217" s="230"/>
      <c r="G217" s="230"/>
      <c r="H217" s="230"/>
      <c r="I217" s="324"/>
      <c r="J217" s="230"/>
      <c r="K217" s="230"/>
      <c r="L217" s="230"/>
      <c r="M217" s="230"/>
      <c r="N217" s="230"/>
      <c r="O217" s="230"/>
      <c r="P217" s="230"/>
      <c r="Q217" s="230"/>
      <c r="R217" s="230"/>
      <c r="S217" s="230"/>
      <c r="T217" s="230"/>
      <c r="U217" s="230"/>
      <c r="V217" s="230"/>
      <c r="W217" s="230"/>
      <c r="X217" s="230"/>
      <c r="Y217" s="230"/>
      <c r="Z217" s="230"/>
      <c r="AA217" s="230"/>
      <c r="AB217" s="230"/>
      <c r="AC217" s="230"/>
      <c r="AD217" s="230"/>
    </row>
    <row r="218" spans="1:30" ht="16.5" thickBot="1">
      <c r="A218" s="933" t="s">
        <v>870</v>
      </c>
      <c r="B218" s="942" t="s">
        <v>854</v>
      </c>
      <c r="C218" s="469"/>
      <c r="D218" s="230"/>
      <c r="E218" s="230"/>
      <c r="F218" s="230"/>
      <c r="G218" s="230"/>
      <c r="H218" s="230"/>
      <c r="I218" s="324"/>
      <c r="J218" s="230"/>
      <c r="K218" s="230"/>
      <c r="L218" s="230"/>
      <c r="M218" s="230"/>
      <c r="N218" s="230"/>
      <c r="O218" s="230"/>
      <c r="P218" s="230"/>
      <c r="Q218" s="230"/>
      <c r="R218" s="230"/>
      <c r="S218" s="230"/>
      <c r="T218" s="230"/>
      <c r="U218" s="230"/>
      <c r="V218" s="230"/>
      <c r="W218" s="230"/>
      <c r="X218" s="230"/>
      <c r="Y218" s="230"/>
      <c r="Z218" s="230"/>
      <c r="AA218" s="230"/>
      <c r="AB218" s="230"/>
      <c r="AC218" s="230"/>
      <c r="AD218" s="230"/>
    </row>
    <row r="219" spans="1:30">
      <c r="A219" s="943" t="s">
        <v>336</v>
      </c>
      <c r="B219" s="938"/>
      <c r="C219" s="469"/>
      <c r="D219" s="230"/>
      <c r="E219" s="230"/>
      <c r="F219" s="230"/>
      <c r="G219" s="230"/>
      <c r="H219" s="230"/>
      <c r="I219" s="324"/>
      <c r="J219" s="230"/>
      <c r="K219" s="230"/>
      <c r="L219" s="230"/>
      <c r="M219" s="230"/>
      <c r="N219" s="230"/>
      <c r="O219" s="230"/>
      <c r="P219" s="230"/>
      <c r="Q219" s="230"/>
      <c r="R219" s="230"/>
      <c r="S219" s="230"/>
      <c r="T219" s="230"/>
      <c r="U219" s="230"/>
      <c r="V219" s="230"/>
      <c r="W219" s="230"/>
      <c r="X219" s="230"/>
      <c r="Y219" s="230"/>
      <c r="Z219" s="230"/>
      <c r="AA219" s="230"/>
      <c r="AB219" s="230"/>
      <c r="AC219" s="230"/>
      <c r="AD219" s="230"/>
    </row>
    <row r="220" spans="1:30" ht="120" customHeight="1">
      <c r="A220" s="1283" t="s">
        <v>1165</v>
      </c>
      <c r="B220" s="1283"/>
      <c r="C220" s="1283"/>
      <c r="D220" s="1283"/>
      <c r="E220" s="1283"/>
      <c r="F220" s="1283"/>
      <c r="G220" s="1283"/>
      <c r="H220" s="1283"/>
      <c r="I220" s="1283"/>
      <c r="J220" s="1324"/>
      <c r="K220" s="230"/>
      <c r="L220" s="230"/>
      <c r="M220" s="230"/>
      <c r="N220" s="230"/>
      <c r="O220" s="230"/>
      <c r="P220" s="230"/>
      <c r="Q220" s="230"/>
      <c r="R220" s="230"/>
      <c r="S220" s="230"/>
      <c r="T220" s="230"/>
      <c r="U220" s="230"/>
      <c r="V220" s="230"/>
      <c r="W220" s="230"/>
      <c r="X220" s="230"/>
      <c r="Y220" s="230"/>
      <c r="Z220" s="230"/>
      <c r="AA220" s="230"/>
      <c r="AB220" s="230"/>
      <c r="AC220" s="230"/>
      <c r="AD220" s="230"/>
    </row>
    <row r="221" spans="1:30" ht="13.5" thickBot="1">
      <c r="A221" s="936"/>
      <c r="B221" s="937"/>
      <c r="C221" s="469"/>
      <c r="D221" s="230"/>
      <c r="E221" s="230"/>
      <c r="F221" s="230"/>
      <c r="G221" s="230"/>
      <c r="H221" s="230"/>
      <c r="I221" s="324"/>
      <c r="J221" s="230"/>
      <c r="K221" s="230"/>
      <c r="L221" s="230"/>
      <c r="M221" s="230"/>
      <c r="N221" s="230"/>
      <c r="O221" s="230"/>
      <c r="P221" s="230"/>
      <c r="Q221" s="230"/>
      <c r="R221" s="230"/>
      <c r="S221" s="230"/>
      <c r="T221" s="230"/>
      <c r="U221" s="230"/>
      <c r="V221" s="230"/>
      <c r="W221" s="230"/>
      <c r="X221" s="230"/>
      <c r="Y221" s="230"/>
      <c r="Z221" s="230"/>
      <c r="AA221" s="230"/>
      <c r="AB221" s="230"/>
      <c r="AC221" s="230"/>
      <c r="AD221" s="230"/>
    </row>
    <row r="222" spans="1:30" ht="13.5" thickBot="1">
      <c r="A222" s="448"/>
      <c r="B222" s="591" t="s">
        <v>510</v>
      </c>
      <c r="C222" s="489"/>
      <c r="D222" s="489"/>
      <c r="E222" s="488"/>
      <c r="F222" s="230"/>
      <c r="G222" s="230"/>
      <c r="H222" s="230"/>
      <c r="I222" s="324"/>
      <c r="J222" s="230"/>
      <c r="K222" s="230"/>
      <c r="L222" s="230"/>
      <c r="M222" s="230"/>
      <c r="N222" s="230"/>
      <c r="O222" s="230"/>
      <c r="P222" s="230"/>
      <c r="Q222" s="230"/>
      <c r="R222" s="230"/>
      <c r="S222" s="230"/>
      <c r="T222" s="230"/>
      <c r="U222" s="230"/>
      <c r="V222" s="230"/>
      <c r="W222" s="230"/>
      <c r="X222" s="230"/>
      <c r="Y222" s="230"/>
      <c r="Z222" s="230"/>
      <c r="AA222" s="230"/>
      <c r="AB222" s="230"/>
      <c r="AC222" s="230"/>
      <c r="AD222" s="230"/>
    </row>
    <row r="223" spans="1:30" ht="13.5" thickBot="1">
      <c r="A223" s="612" t="s">
        <v>508</v>
      </c>
      <c r="B223" s="616" t="s">
        <v>509</v>
      </c>
      <c r="C223" s="1315" t="s">
        <v>511</v>
      </c>
      <c r="D223" s="1316"/>
      <c r="E223" s="1317"/>
      <c r="F223" s="23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row>
    <row r="224" spans="1:30">
      <c r="A224" s="444" t="s">
        <v>871</v>
      </c>
      <c r="B224" s="763">
        <v>16</v>
      </c>
      <c r="C224" s="1328" t="s">
        <v>512</v>
      </c>
      <c r="D224" s="1329"/>
      <c r="E224" s="1330"/>
      <c r="F224" s="23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row>
    <row r="225" spans="1:30">
      <c r="A225" s="281" t="s">
        <v>872</v>
      </c>
      <c r="B225" s="764">
        <v>14</v>
      </c>
      <c r="C225" s="1291" t="s">
        <v>513</v>
      </c>
      <c r="D225" s="1292"/>
      <c r="E225" s="1293"/>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row>
    <row r="226" spans="1:30">
      <c r="A226" s="281" t="s">
        <v>873</v>
      </c>
      <c r="B226" s="764">
        <v>19</v>
      </c>
      <c r="C226" s="1291" t="s">
        <v>514</v>
      </c>
      <c r="D226" s="1292"/>
      <c r="E226" s="1293"/>
      <c r="F226" s="23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row>
    <row r="227" spans="1:30">
      <c r="A227" s="281" t="s">
        <v>874</v>
      </c>
      <c r="B227" s="764">
        <v>2100</v>
      </c>
      <c r="C227" s="1291" t="s">
        <v>515</v>
      </c>
      <c r="D227" s="1292"/>
      <c r="E227" s="1293"/>
      <c r="F227" s="230"/>
      <c r="G227" s="230"/>
      <c r="H227" s="230"/>
      <c r="I227" s="230"/>
      <c r="J227" s="230"/>
      <c r="K227" s="230"/>
      <c r="L227" s="230"/>
      <c r="M227" s="230"/>
      <c r="N227" s="230"/>
      <c r="O227" s="230"/>
      <c r="P227" s="230"/>
      <c r="Q227" s="230"/>
      <c r="R227" s="230"/>
      <c r="S227" s="230"/>
      <c r="T227" s="230"/>
      <c r="U227" s="230"/>
      <c r="V227" s="230"/>
      <c r="W227" s="230"/>
      <c r="X227" s="230"/>
      <c r="Y227" s="230"/>
      <c r="Z227" s="230"/>
      <c r="AA227" s="230"/>
      <c r="AB227" s="230"/>
      <c r="AC227" s="230"/>
      <c r="AD227" s="230"/>
    </row>
    <row r="228" spans="1:30">
      <c r="A228" s="281" t="s">
        <v>875</v>
      </c>
      <c r="B228" s="764">
        <v>1330</v>
      </c>
      <c r="C228" s="1291" t="s">
        <v>516</v>
      </c>
      <c r="D228" s="1292"/>
      <c r="E228" s="1293"/>
      <c r="F228" s="230"/>
      <c r="G228" s="23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row>
    <row r="229" spans="1:30">
      <c r="A229" s="281" t="s">
        <v>876</v>
      </c>
      <c r="B229" s="764">
        <v>3444</v>
      </c>
      <c r="C229" s="1291" t="s">
        <v>517</v>
      </c>
      <c r="D229" s="1292"/>
      <c r="E229" s="1293"/>
      <c r="F229" s="230"/>
      <c r="G229" s="23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row>
    <row r="230" spans="1:30">
      <c r="A230" s="281" t="s">
        <v>877</v>
      </c>
      <c r="B230" s="764">
        <v>3922</v>
      </c>
      <c r="C230" s="1291" t="s">
        <v>518</v>
      </c>
      <c r="D230" s="1292"/>
      <c r="E230" s="1293"/>
      <c r="F230" s="230"/>
      <c r="G230" s="23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row>
    <row r="231" spans="1:30">
      <c r="A231" s="281" t="s">
        <v>878</v>
      </c>
      <c r="B231" s="764">
        <v>0</v>
      </c>
      <c r="C231" s="1291" t="s">
        <v>519</v>
      </c>
      <c r="D231" s="1292"/>
      <c r="E231" s="1293"/>
      <c r="F231" s="230"/>
      <c r="G231" s="23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row>
    <row r="232" spans="1:30">
      <c r="A232" s="281" t="s">
        <v>879</v>
      </c>
      <c r="B232" s="764">
        <v>2107</v>
      </c>
      <c r="C232" s="1291" t="s">
        <v>520</v>
      </c>
      <c r="D232" s="1292"/>
      <c r="E232" s="1293"/>
      <c r="F232" s="230"/>
      <c r="G232" s="23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row>
    <row r="233" spans="1:30">
      <c r="A233" s="281" t="s">
        <v>880</v>
      </c>
      <c r="B233" s="764">
        <v>2804</v>
      </c>
      <c r="C233" s="1291" t="s">
        <v>521</v>
      </c>
      <c r="D233" s="1292"/>
      <c r="E233" s="1293"/>
      <c r="F233" s="230"/>
      <c r="G233" s="23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row>
    <row r="234" spans="1:30">
      <c r="A234" s="281" t="s">
        <v>881</v>
      </c>
      <c r="B234" s="764">
        <v>1774</v>
      </c>
      <c r="C234" s="1291" t="s">
        <v>522</v>
      </c>
      <c r="D234" s="1292"/>
      <c r="E234" s="1293"/>
      <c r="F234" s="230"/>
      <c r="G234" s="23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row>
    <row r="235" spans="1:30">
      <c r="A235" s="281" t="s">
        <v>882</v>
      </c>
      <c r="B235" s="764">
        <v>1627</v>
      </c>
      <c r="C235" s="1291" t="s">
        <v>523</v>
      </c>
      <c r="D235" s="1292"/>
      <c r="E235" s="1293"/>
      <c r="F235" s="230"/>
      <c r="G235" s="23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row>
    <row r="236" spans="1:30">
      <c r="A236" s="281" t="s">
        <v>883</v>
      </c>
      <c r="B236" s="764">
        <v>1552</v>
      </c>
      <c r="C236" s="1291" t="s">
        <v>524</v>
      </c>
      <c r="D236" s="1292"/>
      <c r="E236" s="1293"/>
      <c r="F236" s="230"/>
      <c r="G236" s="23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row>
    <row r="237" spans="1:30">
      <c r="A237" s="281" t="s">
        <v>884</v>
      </c>
      <c r="B237" s="764">
        <v>2301</v>
      </c>
      <c r="C237" s="1291" t="s">
        <v>525</v>
      </c>
      <c r="D237" s="1292"/>
      <c r="E237" s="1293"/>
      <c r="F237" s="230"/>
      <c r="G237" s="23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row>
    <row r="238" spans="1:30">
      <c r="A238" s="281" t="s">
        <v>885</v>
      </c>
      <c r="B238" s="764">
        <v>0</v>
      </c>
      <c r="C238" s="1291" t="s">
        <v>526</v>
      </c>
      <c r="D238" s="1292"/>
      <c r="E238" s="1293"/>
      <c r="F238" s="230"/>
      <c r="G238" s="23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row>
    <row r="239" spans="1:30">
      <c r="A239" s="281" t="s">
        <v>886</v>
      </c>
      <c r="B239" s="764">
        <v>2088</v>
      </c>
      <c r="C239" s="1291" t="s">
        <v>527</v>
      </c>
      <c r="D239" s="1292"/>
      <c r="E239" s="1293"/>
      <c r="F239" s="230"/>
      <c r="G239" s="23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row>
    <row r="240" spans="1:30">
      <c r="A240" s="281" t="s">
        <v>887</v>
      </c>
      <c r="B240" s="764">
        <v>2229</v>
      </c>
      <c r="C240" s="1291" t="s">
        <v>528</v>
      </c>
      <c r="D240" s="1292"/>
      <c r="E240" s="1293"/>
      <c r="F240" s="230"/>
      <c r="G240" s="23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row>
    <row r="241" spans="1:30">
      <c r="A241" s="281" t="s">
        <v>888</v>
      </c>
      <c r="B241" s="764">
        <v>14</v>
      </c>
      <c r="C241" s="1347" t="s">
        <v>630</v>
      </c>
      <c r="D241" s="1348"/>
      <c r="E241" s="1349"/>
      <c r="F241" s="230"/>
      <c r="G241" s="23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row>
    <row r="242" spans="1:30">
      <c r="A242" s="281" t="s">
        <v>889</v>
      </c>
      <c r="B242" s="764">
        <v>4</v>
      </c>
      <c r="C242" s="1291" t="s">
        <v>529</v>
      </c>
      <c r="D242" s="1292"/>
      <c r="E242" s="1293"/>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row>
    <row r="243" spans="1:30">
      <c r="A243" s="281" t="s">
        <v>890</v>
      </c>
      <c r="B243" s="764">
        <v>2053</v>
      </c>
      <c r="C243" s="1291" t="s">
        <v>530</v>
      </c>
      <c r="D243" s="1292"/>
      <c r="E243" s="1293"/>
      <c r="F243" s="230"/>
      <c r="G243" s="23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row>
    <row r="244" spans="1:30">
      <c r="A244" s="281" t="s">
        <v>891</v>
      </c>
      <c r="B244" s="764">
        <v>0</v>
      </c>
      <c r="C244" s="1291" t="s">
        <v>531</v>
      </c>
      <c r="D244" s="1292"/>
      <c r="E244" s="1293"/>
      <c r="F244" s="230"/>
      <c r="G244" s="23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row>
    <row r="245" spans="1:30">
      <c r="A245" s="281" t="s">
        <v>892</v>
      </c>
      <c r="B245" s="764">
        <v>0</v>
      </c>
      <c r="C245" s="1291" t="s">
        <v>532</v>
      </c>
      <c r="D245" s="1292"/>
      <c r="E245" s="1293"/>
      <c r="F245" s="230"/>
      <c r="G245" s="23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row>
    <row r="246" spans="1:30">
      <c r="A246" s="281" t="s">
        <v>893</v>
      </c>
      <c r="B246" s="764">
        <v>2346</v>
      </c>
      <c r="C246" s="1291" t="s">
        <v>533</v>
      </c>
      <c r="D246" s="1292"/>
      <c r="E246" s="1293"/>
      <c r="F246" s="230"/>
      <c r="G246" s="23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row>
    <row r="247" spans="1:30">
      <c r="A247" s="281" t="s">
        <v>894</v>
      </c>
      <c r="B247" s="764">
        <v>3143</v>
      </c>
      <c r="C247" s="1291" t="s">
        <v>534</v>
      </c>
      <c r="D247" s="1292"/>
      <c r="E247" s="1293"/>
      <c r="F247" s="230"/>
      <c r="G247" s="23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row>
    <row r="248" spans="1:30">
      <c r="A248" s="281" t="s">
        <v>895</v>
      </c>
      <c r="B248" s="764">
        <v>2729</v>
      </c>
      <c r="C248" s="1291" t="s">
        <v>535</v>
      </c>
      <c r="D248" s="1292"/>
      <c r="E248" s="1293"/>
      <c r="F248" s="230"/>
      <c r="G248" s="23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row>
    <row r="249" spans="1:30">
      <c r="A249" s="281" t="s">
        <v>896</v>
      </c>
      <c r="B249" s="764">
        <v>2280</v>
      </c>
      <c r="C249" s="1347" t="s">
        <v>1166</v>
      </c>
      <c r="D249" s="1348"/>
      <c r="E249" s="1349"/>
      <c r="F249" s="230"/>
      <c r="G249" s="23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row>
    <row r="250" spans="1:30">
      <c r="A250" s="281" t="s">
        <v>897</v>
      </c>
      <c r="B250" s="764">
        <v>2440</v>
      </c>
      <c r="C250" s="1321" t="s">
        <v>766</v>
      </c>
      <c r="D250" s="1322"/>
      <c r="E250" s="1323"/>
      <c r="F250" s="230"/>
      <c r="G250" s="23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row>
    <row r="251" spans="1:30" ht="13.15" customHeight="1">
      <c r="A251" s="281" t="s">
        <v>898</v>
      </c>
      <c r="B251" s="764">
        <v>1508</v>
      </c>
      <c r="C251" s="1321" t="s">
        <v>767</v>
      </c>
      <c r="D251" s="1322"/>
      <c r="E251" s="1323"/>
      <c r="F251" s="230"/>
      <c r="G251" s="23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row>
    <row r="252" spans="1:30">
      <c r="A252" s="281" t="s">
        <v>899</v>
      </c>
      <c r="B252" s="764">
        <v>3607</v>
      </c>
      <c r="C252" s="1291" t="s">
        <v>536</v>
      </c>
      <c r="D252" s="1292"/>
      <c r="E252" s="1293"/>
      <c r="F252" s="230"/>
      <c r="G252" s="23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row>
    <row r="253" spans="1:30" ht="13.15" customHeight="1">
      <c r="A253" s="281" t="s">
        <v>900</v>
      </c>
      <c r="B253" s="765">
        <v>3245</v>
      </c>
      <c r="C253" s="1321" t="s">
        <v>768</v>
      </c>
      <c r="D253" s="1322"/>
      <c r="E253" s="1323"/>
      <c r="F253" s="230"/>
      <c r="G253" s="23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row>
    <row r="254" spans="1:30">
      <c r="A254" s="891" t="s">
        <v>901</v>
      </c>
      <c r="B254" s="764">
        <v>32</v>
      </c>
      <c r="C254" s="1291" t="s">
        <v>537</v>
      </c>
      <c r="D254" s="1292"/>
      <c r="E254" s="1293"/>
      <c r="F254" s="230"/>
      <c r="G254" s="23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row>
    <row r="255" spans="1:30">
      <c r="A255" s="891" t="s">
        <v>902</v>
      </c>
      <c r="B255" s="764">
        <v>0</v>
      </c>
      <c r="C255" s="1291" t="s">
        <v>538</v>
      </c>
      <c r="D255" s="1292"/>
      <c r="E255" s="1293"/>
      <c r="F255" s="230"/>
      <c r="G255" s="23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row>
    <row r="256" spans="1:30">
      <c r="A256" s="891" t="s">
        <v>903</v>
      </c>
      <c r="B256" s="764">
        <v>325</v>
      </c>
      <c r="C256" s="1291" t="s">
        <v>539</v>
      </c>
      <c r="D256" s="1292"/>
      <c r="E256" s="1293"/>
      <c r="F256" s="230"/>
      <c r="G256" s="23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row>
    <row r="257" spans="1:30">
      <c r="A257" s="891" t="s">
        <v>904</v>
      </c>
      <c r="B257" s="764">
        <v>3985</v>
      </c>
      <c r="C257" s="1291" t="s">
        <v>540</v>
      </c>
      <c r="D257" s="1292"/>
      <c r="E257" s="1293"/>
      <c r="F257" s="230"/>
      <c r="G257" s="23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row>
    <row r="258" spans="1:30">
      <c r="A258" s="281" t="s">
        <v>905</v>
      </c>
      <c r="B258" s="764">
        <v>13214</v>
      </c>
      <c r="C258" s="1291" t="s">
        <v>541</v>
      </c>
      <c r="D258" s="1292"/>
      <c r="E258" s="1293"/>
      <c r="F258" s="230"/>
      <c r="G258" s="23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row>
    <row r="259" spans="1:30" ht="13.5" thickBot="1">
      <c r="A259" s="282" t="s">
        <v>906</v>
      </c>
      <c r="B259" s="766">
        <v>13396</v>
      </c>
      <c r="C259" s="1325" t="s">
        <v>542</v>
      </c>
      <c r="D259" s="1326"/>
      <c r="E259" s="1327"/>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row>
    <row r="260" spans="1:30">
      <c r="A260" s="899" t="s">
        <v>336</v>
      </c>
      <c r="B260" s="484"/>
      <c r="C260" s="484"/>
      <c r="D260" s="484"/>
      <c r="E260" s="484"/>
      <c r="F260" s="484"/>
      <c r="G260" s="484"/>
      <c r="H260" s="484"/>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row>
    <row r="261" spans="1:30" ht="25.15" customHeight="1">
      <c r="A261" s="1311" t="s">
        <v>1167</v>
      </c>
      <c r="B261" s="1311"/>
      <c r="C261" s="1311"/>
      <c r="D261" s="1311"/>
      <c r="E261" s="1311"/>
      <c r="F261" s="1311"/>
      <c r="G261" s="1311"/>
      <c r="H261" s="1311"/>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row>
    <row r="262" spans="1:30">
      <c r="A262" s="1352"/>
      <c r="B262" s="1352"/>
      <c r="C262" s="1352"/>
      <c r="D262" s="1352"/>
      <c r="E262" s="1352"/>
      <c r="F262" s="1352"/>
      <c r="G262" s="1352"/>
      <c r="H262" s="1352"/>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row>
    <row r="263" spans="1:30" ht="13.5" thickBot="1">
      <c r="A263" s="376" t="s">
        <v>553</v>
      </c>
      <c r="B263" s="377"/>
      <c r="C263" s="377"/>
      <c r="D263" s="377"/>
      <c r="E263" s="377"/>
      <c r="F263" s="377"/>
      <c r="G263" s="377"/>
      <c r="H263" s="377"/>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row>
    <row r="264" spans="1:30" ht="13.5" thickBot="1">
      <c r="A264" s="401" t="s">
        <v>554</v>
      </c>
      <c r="B264" s="402" t="s">
        <v>555</v>
      </c>
      <c r="C264" s="398"/>
      <c r="D264" s="398"/>
      <c r="E264" s="398"/>
      <c r="F264" s="398"/>
      <c r="G264" s="398"/>
      <c r="H264" s="398"/>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row>
    <row r="265" spans="1:30" ht="13.5" thickBot="1">
      <c r="A265" s="403" t="s">
        <v>192</v>
      </c>
      <c r="B265" s="404">
        <v>12.010999999999999</v>
      </c>
      <c r="C265" s="398"/>
      <c r="D265" s="398"/>
      <c r="E265" s="398"/>
      <c r="F265" s="398"/>
      <c r="G265" s="398"/>
      <c r="H265" s="398"/>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row>
    <row r="266" spans="1:30">
      <c r="B266" s="10"/>
      <c r="C266" s="10"/>
      <c r="D266" s="10"/>
      <c r="E266" s="10"/>
      <c r="F266" s="10"/>
      <c r="G266" s="1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row>
    <row r="267" spans="1:30">
      <c r="A267" s="376" t="s">
        <v>739</v>
      </c>
      <c r="B267" s="377"/>
      <c r="C267" s="377"/>
      <c r="D267" s="377"/>
      <c r="E267" s="377"/>
      <c r="F267" s="377"/>
      <c r="G267" s="377"/>
      <c r="H267" s="377"/>
      <c r="I267" s="230"/>
      <c r="J267" s="230"/>
      <c r="K267" s="230"/>
      <c r="L267" s="230"/>
      <c r="M267" s="483"/>
      <c r="N267" s="483"/>
      <c r="O267" s="483"/>
      <c r="P267" s="230"/>
      <c r="Q267" s="230"/>
      <c r="R267" s="230"/>
      <c r="S267" s="230"/>
      <c r="T267" s="230"/>
      <c r="U267" s="230"/>
      <c r="V267" s="230"/>
      <c r="W267" s="230"/>
      <c r="X267" s="230"/>
      <c r="Y267" s="230"/>
      <c r="Z267" s="230"/>
      <c r="AA267" s="230"/>
      <c r="AB267" s="230"/>
      <c r="AC267" s="230"/>
      <c r="AD267" s="230"/>
    </row>
    <row r="268" spans="1:30" ht="15" thickBot="1">
      <c r="A268" s="229" t="s">
        <v>1199</v>
      </c>
      <c r="B268" s="230"/>
      <c r="C268" s="230"/>
      <c r="D268" s="230"/>
      <c r="E268" s="230"/>
      <c r="F268" s="230"/>
      <c r="G268" s="230"/>
      <c r="H268" s="230"/>
      <c r="I268" s="230"/>
      <c r="J268" s="230"/>
      <c r="K268" s="230"/>
      <c r="L268" s="230"/>
      <c r="M268" s="485"/>
      <c r="N268" s="486"/>
      <c r="O268" s="486"/>
      <c r="P268" s="230"/>
      <c r="Q268" s="230"/>
      <c r="R268" s="230"/>
      <c r="S268" s="230"/>
      <c r="T268" s="230"/>
      <c r="U268" s="230"/>
      <c r="V268" s="230"/>
      <c r="W268" s="230"/>
      <c r="X268" s="230"/>
      <c r="Y268" s="230"/>
      <c r="Z268" s="230"/>
      <c r="AA268" s="230"/>
      <c r="AB268" s="230"/>
      <c r="AC268" s="230"/>
      <c r="AD268" s="230"/>
    </row>
    <row r="269" spans="1:30" ht="14.25">
      <c r="A269" s="1344" t="s">
        <v>139</v>
      </c>
      <c r="B269" s="1345"/>
      <c r="C269" s="1346"/>
      <c r="D269" s="161" t="s">
        <v>43</v>
      </c>
      <c r="E269" s="183" t="s">
        <v>44</v>
      </c>
      <c r="F269" s="1350" t="s">
        <v>45</v>
      </c>
      <c r="G269" s="1351"/>
      <c r="H269" s="230"/>
      <c r="I269" s="230"/>
      <c r="J269" s="230"/>
      <c r="K269" s="230"/>
      <c r="L269" s="230"/>
      <c r="M269" s="485"/>
      <c r="N269" s="486"/>
      <c r="O269" s="486"/>
      <c r="P269" s="230"/>
      <c r="Q269" s="230"/>
      <c r="R269" s="230"/>
      <c r="S269" s="230"/>
      <c r="T269" s="230"/>
      <c r="U269" s="230"/>
      <c r="V269" s="230"/>
      <c r="W269" s="230"/>
      <c r="X269" s="230"/>
      <c r="Y269" s="230"/>
      <c r="Z269" s="230"/>
      <c r="AA269" s="230"/>
      <c r="AB269" s="230"/>
      <c r="AC269" s="230"/>
      <c r="AD269" s="230"/>
    </row>
    <row r="270" spans="1:30" ht="15" thickBot="1">
      <c r="A270" s="1342"/>
      <c r="B270" s="1343"/>
      <c r="C270" s="1252"/>
      <c r="D270" s="64" t="s">
        <v>81</v>
      </c>
      <c r="E270" s="138" t="s">
        <v>82</v>
      </c>
      <c r="F270" s="1251" t="s">
        <v>83</v>
      </c>
      <c r="G270" s="1341"/>
      <c r="H270" s="230"/>
      <c r="I270" s="230"/>
      <c r="J270" s="230"/>
      <c r="K270" s="230"/>
      <c r="L270" s="230"/>
      <c r="M270" s="485"/>
      <c r="N270" s="486"/>
      <c r="O270" s="486"/>
      <c r="P270" s="230"/>
      <c r="Q270" s="230"/>
      <c r="R270" s="230"/>
      <c r="S270" s="230"/>
      <c r="T270" s="230"/>
      <c r="U270" s="230"/>
      <c r="V270" s="230"/>
      <c r="W270" s="230"/>
      <c r="X270" s="230"/>
      <c r="Y270" s="230"/>
      <c r="Z270" s="230"/>
      <c r="AA270" s="230"/>
      <c r="AB270" s="230"/>
      <c r="AC270" s="230"/>
      <c r="AD270" s="230"/>
    </row>
    <row r="271" spans="1:30">
      <c r="A271" s="1306" t="s">
        <v>47</v>
      </c>
      <c r="B271" s="1307"/>
      <c r="C271" s="1308"/>
      <c r="D271" s="173">
        <v>1039.5999999999999</v>
      </c>
      <c r="E271" s="962">
        <v>8.2000000000000003E-2</v>
      </c>
      <c r="F271" s="963"/>
      <c r="G271" s="964">
        <v>1.0999999999999999E-2</v>
      </c>
      <c r="H271" s="230"/>
      <c r="I271" s="230"/>
      <c r="J271" s="230"/>
      <c r="K271" s="230"/>
      <c r="L271" s="230"/>
      <c r="M271" s="485"/>
      <c r="N271" s="486"/>
      <c r="O271" s="486"/>
      <c r="P271" s="230"/>
      <c r="Q271" s="230"/>
      <c r="R271" s="230"/>
      <c r="S271" s="230"/>
      <c r="T271" s="230"/>
      <c r="U271" s="230"/>
      <c r="V271" s="230"/>
      <c r="W271" s="230"/>
      <c r="X271" s="230"/>
      <c r="Y271" s="230"/>
      <c r="Z271" s="230"/>
      <c r="AA271" s="230"/>
      <c r="AB271" s="230"/>
      <c r="AC271" s="230"/>
      <c r="AD271" s="230"/>
    </row>
    <row r="272" spans="1:30">
      <c r="A272" s="1280" t="s">
        <v>46</v>
      </c>
      <c r="B272" s="1281"/>
      <c r="C272" s="1282"/>
      <c r="D272" s="960">
        <v>525.1</v>
      </c>
      <c r="E272" s="965">
        <v>2.4E-2</v>
      </c>
      <c r="F272" s="966"/>
      <c r="G272" s="967">
        <v>4.0000000000000001E-3</v>
      </c>
      <c r="H272" s="230"/>
      <c r="I272" s="230"/>
      <c r="J272" s="230"/>
      <c r="K272" s="230"/>
      <c r="L272" s="230"/>
      <c r="M272" s="485"/>
      <c r="N272" s="486"/>
      <c r="O272" s="486"/>
      <c r="P272" s="230"/>
      <c r="Q272" s="230"/>
      <c r="R272" s="230"/>
      <c r="S272" s="230"/>
      <c r="T272" s="230"/>
      <c r="U272" s="230"/>
      <c r="V272" s="230"/>
      <c r="W272" s="230"/>
      <c r="X272" s="230"/>
      <c r="Y272" s="230"/>
      <c r="Z272" s="230"/>
      <c r="AA272" s="230"/>
      <c r="AB272" s="230"/>
      <c r="AC272" s="230"/>
      <c r="AD272" s="230"/>
    </row>
    <row r="273" spans="1:30">
      <c r="A273" s="1280" t="s">
        <v>48</v>
      </c>
      <c r="B273" s="1281"/>
      <c r="C273" s="1282"/>
      <c r="D273" s="960">
        <v>1022.4</v>
      </c>
      <c r="E273" s="965">
        <v>7.6999999999999999E-2</v>
      </c>
      <c r="F273" s="966"/>
      <c r="G273" s="967">
        <v>1.0999999999999999E-2</v>
      </c>
      <c r="H273" s="230"/>
      <c r="I273" s="230"/>
      <c r="J273" s="230"/>
      <c r="K273" s="230"/>
      <c r="L273" s="230"/>
      <c r="M273" s="485"/>
      <c r="N273" s="486"/>
      <c r="O273" s="486"/>
      <c r="P273" s="230"/>
      <c r="Q273" s="230"/>
      <c r="R273" s="230"/>
      <c r="S273" s="230"/>
      <c r="T273" s="230"/>
      <c r="U273" s="230"/>
      <c r="V273" s="230"/>
      <c r="W273" s="230"/>
      <c r="X273" s="230"/>
      <c r="Y273" s="230"/>
      <c r="Z273" s="230"/>
      <c r="AA273" s="230"/>
      <c r="AB273" s="230"/>
      <c r="AC273" s="230"/>
      <c r="AD273" s="230"/>
    </row>
    <row r="274" spans="1:30">
      <c r="A274" s="1280" t="s">
        <v>49</v>
      </c>
      <c r="B274" s="1281"/>
      <c r="C274" s="1282"/>
      <c r="D274" s="960">
        <v>496.5</v>
      </c>
      <c r="E274" s="965">
        <v>3.4000000000000002E-2</v>
      </c>
      <c r="F274" s="966"/>
      <c r="G274" s="967">
        <v>4.0000000000000001E-3</v>
      </c>
      <c r="H274" s="230"/>
      <c r="I274" s="230"/>
      <c r="J274" s="230"/>
      <c r="K274" s="230"/>
      <c r="L274" s="230"/>
      <c r="M274" s="485"/>
      <c r="N274" s="486"/>
      <c r="O274" s="486"/>
      <c r="P274" s="230"/>
      <c r="Q274" s="230"/>
      <c r="R274" s="230"/>
      <c r="S274" s="230"/>
      <c r="T274" s="230"/>
      <c r="U274" s="230"/>
      <c r="V274" s="230"/>
      <c r="W274" s="230"/>
      <c r="X274" s="230"/>
      <c r="Y274" s="230"/>
      <c r="Z274" s="230"/>
      <c r="AA274" s="230"/>
      <c r="AB274" s="230"/>
      <c r="AC274" s="230"/>
      <c r="AD274" s="230"/>
    </row>
    <row r="275" spans="1:30">
      <c r="A275" s="1280" t="s">
        <v>50</v>
      </c>
      <c r="B275" s="1281"/>
      <c r="C275" s="1282"/>
      <c r="D275" s="960">
        <v>931.7</v>
      </c>
      <c r="E275" s="965">
        <v>6.6000000000000003E-2</v>
      </c>
      <c r="F275" s="966"/>
      <c r="G275" s="967">
        <v>8.9999999999999993E-3</v>
      </c>
      <c r="H275" s="230"/>
      <c r="I275" s="230"/>
      <c r="J275" s="230"/>
      <c r="K275" s="230"/>
      <c r="L275" s="230"/>
      <c r="M275" s="485"/>
      <c r="N275" s="486"/>
      <c r="O275" s="486"/>
      <c r="P275" s="230"/>
      <c r="Q275" s="230"/>
      <c r="R275" s="230"/>
      <c r="S275" s="230"/>
      <c r="T275" s="230"/>
      <c r="U275" s="230"/>
      <c r="V275" s="230"/>
      <c r="W275" s="230"/>
      <c r="X275" s="230"/>
      <c r="Y275" s="230"/>
      <c r="Z275" s="230"/>
      <c r="AA275" s="230"/>
      <c r="AB275" s="230"/>
      <c r="AC275" s="230"/>
      <c r="AD275" s="230"/>
    </row>
    <row r="276" spans="1:30">
      <c r="A276" s="1280" t="s">
        <v>51</v>
      </c>
      <c r="B276" s="1281"/>
      <c r="C276" s="1282"/>
      <c r="D276" s="960">
        <v>931.8</v>
      </c>
      <c r="E276" s="965">
        <v>6.6000000000000003E-2</v>
      </c>
      <c r="F276" s="966"/>
      <c r="G276" s="967">
        <v>8.9999999999999993E-3</v>
      </c>
      <c r="H276" s="230"/>
      <c r="I276" s="230"/>
      <c r="J276" s="230"/>
      <c r="K276" s="230"/>
      <c r="L276" s="230"/>
      <c r="M276" s="485"/>
      <c r="N276" s="486"/>
      <c r="O276" s="486"/>
      <c r="P276" s="230"/>
      <c r="Q276" s="230"/>
      <c r="R276" s="230"/>
      <c r="S276" s="230"/>
      <c r="T276" s="230"/>
      <c r="U276" s="230"/>
      <c r="V276" s="230"/>
      <c r="W276" s="230"/>
      <c r="X276" s="230"/>
      <c r="Y276" s="230"/>
      <c r="Z276" s="230"/>
      <c r="AA276" s="230"/>
      <c r="AB276" s="230"/>
      <c r="AC276" s="230"/>
      <c r="AD276" s="230"/>
    </row>
    <row r="277" spans="1:30">
      <c r="A277" s="1280" t="s">
        <v>52</v>
      </c>
      <c r="B277" s="1281"/>
      <c r="C277" s="1282"/>
      <c r="D277" s="960">
        <v>1110.7</v>
      </c>
      <c r="E277" s="965">
        <v>0.11799999999999999</v>
      </c>
      <c r="F277" s="966"/>
      <c r="G277" s="967">
        <v>1.7999999999999999E-2</v>
      </c>
      <c r="H277" s="230"/>
      <c r="I277" s="230"/>
      <c r="J277" s="230"/>
      <c r="K277" s="230"/>
      <c r="L277" s="230"/>
      <c r="M277" s="485"/>
      <c r="N277" s="486"/>
      <c r="O277" s="486"/>
      <c r="P277" s="230"/>
      <c r="Q277" s="230"/>
      <c r="R277" s="230"/>
      <c r="S277" s="230"/>
      <c r="T277" s="230"/>
      <c r="U277" s="230"/>
      <c r="V277" s="230"/>
      <c r="W277" s="230"/>
      <c r="X277" s="230"/>
      <c r="Y277" s="230"/>
      <c r="Z277" s="230"/>
      <c r="AA277" s="230"/>
      <c r="AB277" s="230"/>
      <c r="AC277" s="230"/>
      <c r="AD277" s="230"/>
    </row>
    <row r="278" spans="1:30">
      <c r="A278" s="1280" t="s">
        <v>53</v>
      </c>
      <c r="B278" s="1281"/>
      <c r="C278" s="1282"/>
      <c r="D278" s="960">
        <v>1669.9</v>
      </c>
      <c r="E278" s="965">
        <v>0.18</v>
      </c>
      <c r="F278" s="966"/>
      <c r="G278" s="967">
        <v>2.7E-2</v>
      </c>
      <c r="H278" s="230"/>
      <c r="I278" s="230"/>
      <c r="J278" s="230"/>
      <c r="K278" s="230"/>
      <c r="L278" s="230"/>
      <c r="M278" s="485"/>
      <c r="N278" s="486"/>
      <c r="O278" s="486"/>
      <c r="P278" s="230"/>
      <c r="Q278" s="230"/>
      <c r="R278" s="230"/>
      <c r="S278" s="230"/>
      <c r="T278" s="230"/>
      <c r="U278" s="230"/>
      <c r="V278" s="230"/>
      <c r="W278" s="230"/>
      <c r="X278" s="230"/>
      <c r="Y278" s="230"/>
      <c r="Z278" s="230"/>
      <c r="AA278" s="230"/>
      <c r="AB278" s="230"/>
      <c r="AC278" s="230"/>
      <c r="AD278" s="230"/>
    </row>
    <row r="279" spans="1:30">
      <c r="A279" s="1280" t="s">
        <v>263</v>
      </c>
      <c r="B279" s="1281"/>
      <c r="C279" s="1282"/>
      <c r="D279" s="960">
        <v>1678</v>
      </c>
      <c r="E279" s="965">
        <v>0.16900000000000001</v>
      </c>
      <c r="F279" s="966"/>
      <c r="G279" s="967">
        <v>2.5000000000000001E-2</v>
      </c>
      <c r="H279" s="230"/>
      <c r="I279" s="230"/>
      <c r="J279" s="230"/>
      <c r="K279" s="230"/>
      <c r="L279" s="230"/>
      <c r="M279" s="485"/>
      <c r="N279" s="486"/>
      <c r="O279" s="486"/>
      <c r="P279" s="230"/>
      <c r="Q279" s="230"/>
      <c r="R279" s="230"/>
      <c r="S279" s="230"/>
      <c r="T279" s="230"/>
      <c r="U279" s="230"/>
      <c r="V279" s="230"/>
      <c r="W279" s="230"/>
      <c r="X279" s="230"/>
      <c r="Y279" s="230"/>
      <c r="Z279" s="230"/>
      <c r="AA279" s="230"/>
      <c r="AB279" s="230"/>
      <c r="AC279" s="230"/>
      <c r="AD279" s="230"/>
    </row>
    <row r="280" spans="1:30">
      <c r="A280" s="1280" t="s">
        <v>54</v>
      </c>
      <c r="B280" s="1281"/>
      <c r="C280" s="1282"/>
      <c r="D280" s="960">
        <v>1239.8</v>
      </c>
      <c r="E280" s="965">
        <v>0.13800000000000001</v>
      </c>
      <c r="F280" s="966"/>
      <c r="G280" s="967">
        <v>0.02</v>
      </c>
      <c r="H280" s="230"/>
      <c r="I280" s="230"/>
      <c r="J280" s="230"/>
      <c r="K280" s="230"/>
      <c r="L280" s="230"/>
      <c r="M280" s="485"/>
      <c r="N280" s="486"/>
      <c r="O280" s="486"/>
      <c r="P280" s="230"/>
      <c r="Q280" s="230"/>
      <c r="R280" s="230"/>
      <c r="S280" s="230"/>
      <c r="T280" s="230"/>
      <c r="U280" s="230"/>
      <c r="V280" s="230"/>
      <c r="W280" s="230"/>
      <c r="X280" s="230"/>
      <c r="Y280" s="230"/>
      <c r="Z280" s="230"/>
      <c r="AA280" s="230"/>
      <c r="AB280" s="230"/>
      <c r="AC280" s="230"/>
      <c r="AD280" s="230"/>
    </row>
    <row r="281" spans="1:30">
      <c r="A281" s="1280" t="s">
        <v>55</v>
      </c>
      <c r="B281" s="1281"/>
      <c r="C281" s="1282"/>
      <c r="D281" s="960">
        <v>522.29999999999995</v>
      </c>
      <c r="E281" s="965">
        <v>8.2000000000000003E-2</v>
      </c>
      <c r="F281" s="966"/>
      <c r="G281" s="967">
        <v>1.0999999999999999E-2</v>
      </c>
      <c r="H281" s="230"/>
      <c r="I281" s="230"/>
      <c r="J281" s="230"/>
      <c r="K281" s="230"/>
      <c r="L281" s="230"/>
      <c r="M281" s="485"/>
      <c r="N281" s="486"/>
      <c r="O281" s="486"/>
      <c r="P281" s="230"/>
      <c r="Q281" s="230"/>
      <c r="R281" s="230"/>
      <c r="S281" s="230"/>
      <c r="T281" s="230"/>
      <c r="U281" s="230"/>
      <c r="V281" s="230"/>
      <c r="W281" s="230"/>
      <c r="X281" s="230"/>
      <c r="Y281" s="230"/>
      <c r="Z281" s="230"/>
      <c r="AA281" s="230"/>
      <c r="AB281" s="230"/>
      <c r="AC281" s="230"/>
      <c r="AD281" s="230"/>
    </row>
    <row r="282" spans="1:30">
      <c r="A282" s="1280" t="s">
        <v>56</v>
      </c>
      <c r="B282" s="1281"/>
      <c r="C282" s="1282"/>
      <c r="D282" s="960">
        <v>639</v>
      </c>
      <c r="E282" s="965">
        <v>6.4000000000000001E-2</v>
      </c>
      <c r="F282" s="966"/>
      <c r="G282" s="967">
        <v>8.9999999999999993E-3</v>
      </c>
      <c r="H282" s="230"/>
      <c r="I282" s="230"/>
      <c r="J282" s="230"/>
      <c r="K282" s="230"/>
      <c r="L282" s="230"/>
      <c r="M282" s="485"/>
      <c r="N282" s="486"/>
      <c r="O282" s="486"/>
      <c r="P282" s="230"/>
      <c r="Q282" s="230"/>
      <c r="R282" s="230"/>
      <c r="S282" s="230"/>
      <c r="T282" s="230"/>
      <c r="U282" s="230"/>
      <c r="V282" s="230"/>
      <c r="W282" s="230"/>
      <c r="X282" s="230"/>
      <c r="Y282" s="230"/>
      <c r="Z282" s="230"/>
      <c r="AA282" s="230"/>
      <c r="AB282" s="230"/>
      <c r="AC282" s="230"/>
      <c r="AD282" s="230"/>
    </row>
    <row r="283" spans="1:30">
      <c r="A283" s="1280" t="s">
        <v>57</v>
      </c>
      <c r="B283" s="1281"/>
      <c r="C283" s="1282"/>
      <c r="D283" s="960">
        <v>596.4</v>
      </c>
      <c r="E283" s="965">
        <v>2.1999999999999999E-2</v>
      </c>
      <c r="F283" s="966"/>
      <c r="G283" s="967">
        <v>3.0000000000000001E-3</v>
      </c>
      <c r="H283" s="230"/>
      <c r="I283" s="230"/>
      <c r="J283" s="230"/>
      <c r="K283" s="230"/>
      <c r="L283" s="230"/>
      <c r="M283" s="485"/>
      <c r="N283" s="486"/>
      <c r="O283" s="486"/>
      <c r="P283" s="230"/>
      <c r="Q283" s="230"/>
      <c r="R283" s="230"/>
      <c r="S283" s="230"/>
      <c r="T283" s="230"/>
      <c r="U283" s="230"/>
      <c r="V283" s="230"/>
      <c r="W283" s="230"/>
      <c r="X283" s="230"/>
      <c r="Y283" s="230"/>
      <c r="Z283" s="230"/>
      <c r="AA283" s="230"/>
      <c r="AB283" s="230"/>
      <c r="AC283" s="230"/>
      <c r="AD283" s="230"/>
    </row>
    <row r="284" spans="1:30">
      <c r="A284" s="1280" t="s">
        <v>58</v>
      </c>
      <c r="B284" s="1281"/>
      <c r="C284" s="1282"/>
      <c r="D284" s="960">
        <v>1184.2</v>
      </c>
      <c r="E284" s="965">
        <v>0.13900000000000001</v>
      </c>
      <c r="F284" s="966"/>
      <c r="G284" s="967">
        <v>1.7999999999999999E-2</v>
      </c>
      <c r="H284" s="230"/>
      <c r="I284" s="230"/>
      <c r="J284" s="230"/>
      <c r="K284" s="230"/>
      <c r="L284" s="230"/>
      <c r="M284" s="485"/>
      <c r="N284" s="486"/>
      <c r="O284" s="486"/>
      <c r="P284" s="230"/>
      <c r="Q284" s="230"/>
      <c r="R284" s="230"/>
      <c r="S284" s="230"/>
      <c r="T284" s="230"/>
      <c r="U284" s="230"/>
      <c r="V284" s="230"/>
      <c r="W284" s="230"/>
      <c r="X284" s="230"/>
      <c r="Y284" s="230"/>
      <c r="Z284" s="230"/>
      <c r="AA284" s="230"/>
      <c r="AB284" s="230"/>
      <c r="AC284" s="230"/>
      <c r="AD284" s="230"/>
    </row>
    <row r="285" spans="1:30">
      <c r="A285" s="1280" t="s">
        <v>59</v>
      </c>
      <c r="B285" s="1281"/>
      <c r="C285" s="1282"/>
      <c r="D285" s="960">
        <v>253.1</v>
      </c>
      <c r="E285" s="965">
        <v>1.7999999999999999E-2</v>
      </c>
      <c r="F285" s="966"/>
      <c r="G285" s="967">
        <v>2E-3</v>
      </c>
      <c r="H285" s="230"/>
      <c r="I285" s="230"/>
      <c r="J285" s="230"/>
      <c r="K285" s="230"/>
      <c r="L285" s="230"/>
      <c r="M285" s="485"/>
      <c r="N285" s="486"/>
      <c r="O285" s="486"/>
      <c r="P285" s="230"/>
      <c r="Q285" s="230"/>
      <c r="R285" s="230"/>
      <c r="S285" s="230"/>
      <c r="T285" s="230"/>
      <c r="U285" s="230"/>
      <c r="V285" s="230"/>
      <c r="W285" s="230"/>
      <c r="X285" s="230"/>
      <c r="Y285" s="230"/>
      <c r="Z285" s="230"/>
      <c r="AA285" s="230"/>
      <c r="AB285" s="230"/>
      <c r="AC285" s="230"/>
      <c r="AD285" s="230"/>
    </row>
    <row r="286" spans="1:30">
      <c r="A286" s="1280" t="s">
        <v>60</v>
      </c>
      <c r="B286" s="1281"/>
      <c r="C286" s="1282"/>
      <c r="D286" s="960">
        <v>716</v>
      </c>
      <c r="E286" s="965">
        <v>6.0999999999999999E-2</v>
      </c>
      <c r="F286" s="966"/>
      <c r="G286" s="967">
        <v>8.0000000000000002E-3</v>
      </c>
      <c r="H286" s="230"/>
      <c r="I286" s="230"/>
      <c r="J286" s="230"/>
      <c r="K286" s="230"/>
      <c r="L286" s="230"/>
      <c r="M286" s="485"/>
      <c r="N286" s="486"/>
      <c r="O286" s="486"/>
      <c r="P286" s="230"/>
      <c r="Q286" s="230"/>
      <c r="R286" s="230"/>
      <c r="S286" s="230"/>
      <c r="T286" s="230"/>
      <c r="U286" s="230"/>
      <c r="V286" s="230"/>
      <c r="W286" s="230"/>
      <c r="X286" s="230"/>
      <c r="Y286" s="230"/>
      <c r="Z286" s="230"/>
      <c r="AA286" s="230"/>
      <c r="AB286" s="230"/>
      <c r="AC286" s="230"/>
      <c r="AD286" s="230"/>
    </row>
    <row r="287" spans="1:30">
      <c r="A287" s="1280" t="s">
        <v>61</v>
      </c>
      <c r="B287" s="1281"/>
      <c r="C287" s="1282"/>
      <c r="D287" s="960">
        <v>1312.6</v>
      </c>
      <c r="E287" s="965">
        <v>0.129</v>
      </c>
      <c r="F287" s="966"/>
      <c r="G287" s="967">
        <v>1.7999999999999999E-2</v>
      </c>
      <c r="H287" s="230"/>
      <c r="I287" s="230"/>
      <c r="J287" s="230"/>
      <c r="K287" s="230"/>
      <c r="L287" s="230"/>
      <c r="M287" s="485"/>
      <c r="N287" s="486"/>
      <c r="O287" s="486"/>
      <c r="P287" s="230"/>
      <c r="Q287" s="230"/>
      <c r="R287" s="230"/>
      <c r="S287" s="230"/>
      <c r="T287" s="230"/>
      <c r="U287" s="230"/>
      <c r="V287" s="230"/>
      <c r="W287" s="230"/>
      <c r="X287" s="230"/>
      <c r="Y287" s="230"/>
      <c r="Z287" s="230"/>
      <c r="AA287" s="230"/>
      <c r="AB287" s="230"/>
      <c r="AC287" s="230"/>
      <c r="AD287" s="230"/>
    </row>
    <row r="288" spans="1:30">
      <c r="A288" s="1280" t="s">
        <v>62</v>
      </c>
      <c r="B288" s="1281"/>
      <c r="C288" s="1282"/>
      <c r="D288" s="960">
        <v>1166.0999999999999</v>
      </c>
      <c r="E288" s="965">
        <v>0.11700000000000001</v>
      </c>
      <c r="F288" s="966"/>
      <c r="G288" s="967">
        <v>1.7000000000000001E-2</v>
      </c>
      <c r="H288" s="230"/>
      <c r="I288" s="230"/>
      <c r="J288" s="230"/>
      <c r="K288" s="230"/>
      <c r="L288" s="230"/>
      <c r="M288" s="485"/>
      <c r="N288" s="486"/>
      <c r="O288" s="486"/>
      <c r="P288" s="230"/>
      <c r="Q288" s="230"/>
      <c r="R288" s="230"/>
      <c r="S288" s="230"/>
      <c r="T288" s="230"/>
      <c r="U288" s="230"/>
      <c r="V288" s="230"/>
      <c r="W288" s="230"/>
      <c r="X288" s="230"/>
      <c r="Y288" s="230"/>
      <c r="Z288" s="230"/>
      <c r="AA288" s="230"/>
      <c r="AB288" s="230"/>
      <c r="AC288" s="230"/>
      <c r="AD288" s="230"/>
    </row>
    <row r="289" spans="1:30">
      <c r="A289" s="1280" t="s">
        <v>63</v>
      </c>
      <c r="B289" s="1281"/>
      <c r="C289" s="1282"/>
      <c r="D289" s="960">
        <v>1273.5999999999999</v>
      </c>
      <c r="E289" s="965">
        <v>0.123</v>
      </c>
      <c r="F289" s="966"/>
      <c r="G289" s="967">
        <v>1.7999999999999999E-2</v>
      </c>
      <c r="H289" s="230"/>
      <c r="I289" s="230"/>
      <c r="J289" s="230"/>
      <c r="K289" s="484"/>
      <c r="L289" s="484"/>
      <c r="M289" s="485"/>
      <c r="N289" s="486"/>
      <c r="O289" s="486"/>
      <c r="P289" s="230"/>
      <c r="Q289" s="230"/>
      <c r="R289" s="230"/>
      <c r="S289" s="230"/>
      <c r="T289" s="230"/>
      <c r="U289" s="230"/>
      <c r="V289" s="230"/>
      <c r="W289" s="230"/>
      <c r="X289" s="230"/>
      <c r="Y289" s="230"/>
      <c r="Z289" s="230"/>
      <c r="AA289" s="230"/>
      <c r="AB289" s="230"/>
      <c r="AC289" s="230"/>
      <c r="AD289" s="230"/>
    </row>
    <row r="290" spans="1:30">
      <c r="A290" s="1280" t="s">
        <v>64</v>
      </c>
      <c r="B290" s="1281"/>
      <c r="C290" s="1282"/>
      <c r="D290" s="960">
        <v>1163.2</v>
      </c>
      <c r="E290" s="965">
        <v>0.124</v>
      </c>
      <c r="F290" s="966"/>
      <c r="G290" s="967">
        <v>1.7999999999999999E-2</v>
      </c>
      <c r="H290" s="230"/>
      <c r="I290" s="230"/>
      <c r="J290" s="230"/>
      <c r="K290" s="484"/>
      <c r="L290" s="484"/>
      <c r="M290" s="485"/>
      <c r="N290" s="486"/>
      <c r="O290" s="486"/>
      <c r="P290" s="230"/>
      <c r="Q290" s="230"/>
      <c r="R290" s="230"/>
      <c r="S290" s="230"/>
      <c r="T290" s="230"/>
      <c r="U290" s="230"/>
      <c r="V290" s="230"/>
      <c r="W290" s="230"/>
      <c r="X290" s="230"/>
      <c r="Y290" s="230"/>
      <c r="Z290" s="230"/>
      <c r="AA290" s="230"/>
      <c r="AB290" s="230"/>
      <c r="AC290" s="230"/>
      <c r="AD290" s="230"/>
    </row>
    <row r="291" spans="1:30">
      <c r="A291" s="1280" t="s">
        <v>65</v>
      </c>
      <c r="B291" s="1281"/>
      <c r="C291" s="1282"/>
      <c r="D291" s="960">
        <v>1166.5999999999999</v>
      </c>
      <c r="E291" s="965">
        <v>9.0999999999999998E-2</v>
      </c>
      <c r="F291" s="966"/>
      <c r="G291" s="967">
        <v>1.2999999999999999E-2</v>
      </c>
      <c r="H291" s="230"/>
      <c r="I291" s="230"/>
      <c r="J291" s="230"/>
      <c r="K291" s="484"/>
      <c r="L291" s="484"/>
      <c r="M291" s="485"/>
      <c r="N291" s="486"/>
      <c r="O291" s="486"/>
      <c r="P291" s="230"/>
      <c r="Q291" s="230"/>
      <c r="R291" s="230"/>
      <c r="S291" s="230"/>
      <c r="T291" s="230"/>
      <c r="U291" s="230"/>
      <c r="V291" s="230"/>
      <c r="W291" s="230"/>
      <c r="X291" s="230"/>
      <c r="Y291" s="230"/>
      <c r="Z291" s="230"/>
      <c r="AA291" s="230"/>
      <c r="AB291" s="230"/>
      <c r="AC291" s="230"/>
      <c r="AD291" s="230"/>
    </row>
    <row r="292" spans="1:30">
      <c r="A292" s="1280" t="s">
        <v>66</v>
      </c>
      <c r="B292" s="1281"/>
      <c r="C292" s="1282"/>
      <c r="D292" s="960">
        <v>854.6</v>
      </c>
      <c r="E292" s="965">
        <v>5.5E-2</v>
      </c>
      <c r="F292" s="966"/>
      <c r="G292" s="967">
        <v>8.0000000000000002E-3</v>
      </c>
      <c r="H292" s="230"/>
      <c r="I292" s="230"/>
      <c r="J292" s="230"/>
      <c r="K292" s="484"/>
      <c r="L292" s="484"/>
      <c r="M292" s="485"/>
      <c r="N292" s="486"/>
      <c r="O292" s="486"/>
      <c r="P292" s="230"/>
      <c r="Q292" s="230"/>
      <c r="R292" s="230"/>
      <c r="S292" s="230"/>
      <c r="T292" s="230"/>
      <c r="U292" s="230"/>
      <c r="V292" s="230"/>
      <c r="W292" s="230"/>
      <c r="X292" s="230"/>
      <c r="Y292" s="230"/>
      <c r="Z292" s="230"/>
      <c r="AA292" s="230"/>
      <c r="AB292" s="230"/>
      <c r="AC292" s="230"/>
      <c r="AD292" s="230"/>
    </row>
    <row r="293" spans="1:30">
      <c r="A293" s="1280" t="s">
        <v>67</v>
      </c>
      <c r="B293" s="1281"/>
      <c r="C293" s="1282"/>
      <c r="D293" s="960">
        <v>1664.2</v>
      </c>
      <c r="E293" s="965">
        <v>0.185</v>
      </c>
      <c r="F293" s="966"/>
      <c r="G293" s="967">
        <v>2.7E-2</v>
      </c>
      <c r="H293" s="230"/>
      <c r="I293" s="230"/>
      <c r="J293" s="230"/>
      <c r="K293" s="484"/>
      <c r="L293" s="484"/>
      <c r="M293" s="485"/>
      <c r="N293" s="486"/>
      <c r="O293" s="486"/>
      <c r="P293" s="230"/>
      <c r="Q293" s="230"/>
      <c r="R293" s="230"/>
      <c r="S293" s="230"/>
      <c r="T293" s="230"/>
      <c r="U293" s="230"/>
      <c r="V293" s="230"/>
      <c r="W293" s="230"/>
      <c r="X293" s="230"/>
      <c r="Y293" s="230"/>
      <c r="Z293" s="230"/>
      <c r="AA293" s="230"/>
      <c r="AB293" s="230"/>
      <c r="AC293" s="230"/>
      <c r="AD293" s="230"/>
    </row>
    <row r="294" spans="1:30">
      <c r="A294" s="1280" t="s">
        <v>68</v>
      </c>
      <c r="B294" s="1281"/>
      <c r="C294" s="1282"/>
      <c r="D294" s="960">
        <v>1027.9000000000001</v>
      </c>
      <c r="E294" s="965">
        <v>8.1000000000000003E-2</v>
      </c>
      <c r="F294" s="966"/>
      <c r="G294" s="967">
        <v>1.2E-2</v>
      </c>
      <c r="H294" s="230"/>
      <c r="I294" s="230"/>
      <c r="J294" s="230"/>
      <c r="K294" s="484"/>
      <c r="L294" s="230"/>
      <c r="M294" s="230"/>
      <c r="N294" s="230"/>
      <c r="O294" s="230"/>
      <c r="P294" s="230"/>
      <c r="Q294" s="230"/>
      <c r="R294" s="230"/>
      <c r="S294" s="230"/>
      <c r="T294" s="230"/>
      <c r="U294" s="230"/>
      <c r="V294" s="230"/>
      <c r="W294" s="230"/>
      <c r="X294" s="230"/>
      <c r="Y294" s="230"/>
      <c r="Z294" s="230"/>
      <c r="AA294" s="230"/>
      <c r="AB294" s="230"/>
      <c r="AC294" s="230"/>
      <c r="AD294" s="230"/>
    </row>
    <row r="295" spans="1:30">
      <c r="A295" s="1280" t="s">
        <v>69</v>
      </c>
      <c r="B295" s="1281"/>
      <c r="C295" s="1282"/>
      <c r="D295" s="960">
        <v>1031.5</v>
      </c>
      <c r="E295" s="965">
        <v>9.7000000000000003E-2</v>
      </c>
      <c r="F295" s="966"/>
      <c r="G295" s="967">
        <v>1.4E-2</v>
      </c>
      <c r="H295" s="230"/>
      <c r="I295" s="230"/>
      <c r="J295" s="230"/>
      <c r="K295" s="230"/>
      <c r="L295" s="230"/>
      <c r="M295" s="230"/>
      <c r="N295" s="233"/>
      <c r="O295" s="233"/>
      <c r="P295" s="230"/>
      <c r="Q295" s="230"/>
      <c r="R295" s="230"/>
      <c r="S295" s="230"/>
      <c r="T295" s="230"/>
      <c r="U295" s="230"/>
      <c r="V295" s="230"/>
      <c r="W295" s="230"/>
      <c r="X295" s="230"/>
      <c r="Y295" s="230"/>
      <c r="Z295" s="230"/>
      <c r="AA295" s="230"/>
      <c r="AB295" s="230"/>
      <c r="AC295" s="230"/>
      <c r="AD295" s="230"/>
    </row>
    <row r="296" spans="1:30" ht="13.5" thickBot="1">
      <c r="A296" s="1285" t="s">
        <v>70</v>
      </c>
      <c r="B296" s="1286"/>
      <c r="C296" s="1287"/>
      <c r="D296" s="961">
        <v>743.3</v>
      </c>
      <c r="E296" s="968">
        <v>6.7000000000000004E-2</v>
      </c>
      <c r="F296" s="969"/>
      <c r="G296" s="970">
        <v>8.9999999999999993E-3</v>
      </c>
      <c r="H296" s="230"/>
      <c r="I296" s="230"/>
      <c r="J296" s="230"/>
      <c r="K296" s="230"/>
      <c r="L296" s="230"/>
      <c r="M296" s="230"/>
      <c r="N296" s="233"/>
      <c r="O296" s="233"/>
      <c r="P296" s="230"/>
      <c r="Q296" s="230"/>
      <c r="R296" s="230"/>
      <c r="S296" s="230"/>
      <c r="T296" s="230"/>
      <c r="U296" s="230"/>
      <c r="V296" s="230"/>
      <c r="W296" s="230"/>
      <c r="X296" s="230"/>
      <c r="Y296" s="230"/>
      <c r="Z296" s="230"/>
      <c r="AA296" s="230"/>
      <c r="AB296" s="230"/>
      <c r="AC296" s="230"/>
      <c r="AD296" s="230"/>
    </row>
    <row r="297" spans="1:30">
      <c r="A297" s="112"/>
      <c r="B297" s="10"/>
      <c r="C297" s="10"/>
      <c r="D297" s="136"/>
      <c r="E297" s="10"/>
      <c r="F297" s="10"/>
      <c r="G297" s="10"/>
      <c r="I297" s="230"/>
      <c r="J297" s="230"/>
      <c r="K297" s="230"/>
      <c r="L297" s="230"/>
      <c r="M297" s="230"/>
      <c r="N297" s="230"/>
      <c r="O297" s="230"/>
      <c r="P297" s="230"/>
      <c r="Q297" s="230"/>
      <c r="R297" s="230"/>
      <c r="S297" s="230"/>
      <c r="T297" s="230"/>
      <c r="U297" s="230"/>
      <c r="V297" s="230"/>
      <c r="W297" s="230"/>
      <c r="X297" s="230"/>
      <c r="Y297" s="230"/>
      <c r="Z297" s="230"/>
      <c r="AA297" s="230"/>
      <c r="AB297" s="230"/>
      <c r="AC297" s="230"/>
      <c r="AD297" s="230"/>
    </row>
    <row r="298" spans="1:30" ht="13.5" thickBot="1">
      <c r="A298" s="376" t="s">
        <v>1169</v>
      </c>
      <c r="B298" s="377"/>
      <c r="C298" s="377"/>
      <c r="D298" s="377"/>
      <c r="E298" s="377"/>
      <c r="F298" s="377"/>
      <c r="G298" s="377"/>
      <c r="H298" s="377"/>
      <c r="I298" s="230"/>
      <c r="J298" s="230"/>
      <c r="K298" s="230"/>
      <c r="L298" s="230"/>
      <c r="M298" s="230"/>
      <c r="N298" s="230"/>
      <c r="O298" s="230"/>
      <c r="P298" s="230"/>
      <c r="Q298" s="230"/>
      <c r="R298" s="230"/>
      <c r="S298" s="230"/>
      <c r="T298" s="230"/>
      <c r="U298" s="230"/>
      <c r="V298" s="230"/>
      <c r="W298" s="230"/>
      <c r="X298" s="230"/>
      <c r="Y298" s="230"/>
      <c r="Z298" s="230"/>
      <c r="AA298" s="230"/>
      <c r="AB298" s="230"/>
      <c r="AC298" s="230"/>
      <c r="AD298" s="230"/>
    </row>
    <row r="299" spans="1:30" ht="27.75" thickBot="1">
      <c r="A299" s="614" t="s">
        <v>145</v>
      </c>
      <c r="B299" s="274" t="s">
        <v>323</v>
      </c>
      <c r="C299" s="274" t="s">
        <v>324</v>
      </c>
      <c r="D299" s="274" t="s">
        <v>316</v>
      </c>
      <c r="E299" s="615" t="s">
        <v>169</v>
      </c>
      <c r="F299" s="230"/>
      <c r="G299" s="230"/>
      <c r="H299" s="230"/>
      <c r="I299" s="230"/>
      <c r="J299" s="230"/>
      <c r="K299" s="230"/>
      <c r="L299" s="230"/>
      <c r="M299" s="230"/>
      <c r="N299" s="230"/>
      <c r="O299" s="230"/>
      <c r="P299" s="230"/>
      <c r="Q299" s="230"/>
      <c r="R299" s="230"/>
      <c r="S299" s="230"/>
      <c r="T299" s="230"/>
      <c r="U299" s="230"/>
      <c r="V299" s="230"/>
      <c r="W299" s="230"/>
      <c r="X299" s="230"/>
      <c r="Y299" s="230"/>
      <c r="Z299" s="230"/>
      <c r="AA299" s="230"/>
      <c r="AB299" s="230"/>
      <c r="AC299" s="230"/>
      <c r="AD299" s="230"/>
    </row>
    <row r="300" spans="1:30">
      <c r="A300" s="995" t="s">
        <v>3</v>
      </c>
      <c r="B300" s="1003">
        <v>0.33500000000000002</v>
      </c>
      <c r="C300" s="1003">
        <v>8.9999999999999993E-3</v>
      </c>
      <c r="D300" s="1003">
        <v>8.0000000000000002E-3</v>
      </c>
      <c r="E300" s="996" t="s">
        <v>326</v>
      </c>
      <c r="F300" s="230"/>
      <c r="G300" s="230"/>
      <c r="H300" s="230"/>
      <c r="I300" s="230"/>
      <c r="J300" s="230"/>
      <c r="K300" s="230"/>
      <c r="L300" s="230"/>
      <c r="M300" s="230"/>
      <c r="N300" s="230"/>
      <c r="O300" s="230"/>
      <c r="P300" s="230"/>
      <c r="Q300" s="230"/>
      <c r="R300" s="230"/>
      <c r="S300" s="230"/>
      <c r="T300" s="230"/>
      <c r="U300" s="230"/>
      <c r="V300" s="230"/>
      <c r="W300" s="230"/>
      <c r="X300" s="230"/>
      <c r="Y300" s="230"/>
      <c r="Z300" s="230"/>
      <c r="AA300" s="230"/>
      <c r="AB300" s="230"/>
      <c r="AC300" s="230"/>
      <c r="AD300" s="230"/>
    </row>
    <row r="301" spans="1:30">
      <c r="A301" s="906" t="s">
        <v>4</v>
      </c>
      <c r="B301" s="1004">
        <v>0.46100000000000002</v>
      </c>
      <c r="C301" s="1004">
        <v>1.2E-2</v>
      </c>
      <c r="D301" s="1004">
        <v>0.01</v>
      </c>
      <c r="E301" s="997" t="s">
        <v>326</v>
      </c>
      <c r="F301" s="230"/>
      <c r="G301" s="230"/>
      <c r="H301" s="230"/>
      <c r="I301" s="230"/>
      <c r="J301" s="230"/>
      <c r="K301" s="230"/>
      <c r="L301" s="230"/>
      <c r="M301" s="230"/>
      <c r="N301" s="230"/>
      <c r="O301" s="230"/>
      <c r="P301" s="230"/>
      <c r="Q301" s="230"/>
      <c r="R301" s="230"/>
      <c r="S301" s="230"/>
      <c r="T301" s="230"/>
      <c r="U301" s="230"/>
      <c r="V301" s="230"/>
      <c r="W301" s="230"/>
      <c r="X301" s="230"/>
      <c r="Y301" s="230"/>
      <c r="Z301" s="230"/>
      <c r="AA301" s="230"/>
      <c r="AB301" s="230"/>
      <c r="AC301" s="230"/>
      <c r="AD301" s="230"/>
    </row>
    <row r="302" spans="1:30" ht="13.5" thickBot="1">
      <c r="A302" s="998" t="s">
        <v>5</v>
      </c>
      <c r="B302" s="1005">
        <v>0.184</v>
      </c>
      <c r="C302" s="1005">
        <v>7.0000000000000007E-2</v>
      </c>
      <c r="D302" s="1005">
        <v>7.0000000000000001E-3</v>
      </c>
      <c r="E302" s="999" t="s">
        <v>326</v>
      </c>
      <c r="F302" s="230"/>
      <c r="G302" s="230"/>
      <c r="H302" s="230"/>
      <c r="I302" s="230"/>
      <c r="J302" s="230"/>
      <c r="K302" s="230"/>
      <c r="L302" s="230"/>
      <c r="M302" s="230"/>
      <c r="N302" s="230"/>
      <c r="O302" s="230"/>
      <c r="P302" s="230"/>
      <c r="Q302" s="230"/>
      <c r="R302" s="230"/>
      <c r="S302" s="230"/>
      <c r="T302" s="230"/>
      <c r="U302" s="230"/>
      <c r="V302" s="230"/>
      <c r="W302" s="230"/>
      <c r="X302" s="230"/>
      <c r="Y302" s="230"/>
      <c r="Z302" s="230"/>
      <c r="AA302" s="230"/>
      <c r="AB302" s="230"/>
      <c r="AC302" s="230"/>
      <c r="AD302" s="230"/>
    </row>
    <row r="303" spans="1:30">
      <c r="A303" s="1006" t="s">
        <v>1368</v>
      </c>
      <c r="B303" s="1007">
        <v>5.8000000000000003E-2</v>
      </c>
      <c r="C303" s="1008">
        <v>5.4999999999999997E-3</v>
      </c>
      <c r="D303" s="1008">
        <v>6.9999999999999999E-4</v>
      </c>
      <c r="E303" s="1000" t="s">
        <v>327</v>
      </c>
      <c r="F303" s="230"/>
      <c r="G303" s="230"/>
      <c r="H303" s="230"/>
      <c r="I303" s="230"/>
      <c r="J303" s="230"/>
      <c r="K303" s="230"/>
      <c r="L303" s="230"/>
      <c r="M303" s="230"/>
      <c r="N303" s="230"/>
      <c r="O303" s="230"/>
      <c r="P303" s="230"/>
      <c r="Q303" s="230"/>
      <c r="R303" s="230"/>
      <c r="S303" s="230"/>
      <c r="T303" s="230"/>
      <c r="U303" s="230"/>
      <c r="V303" s="230"/>
      <c r="W303" s="230"/>
      <c r="X303" s="230"/>
      <c r="Y303" s="230"/>
      <c r="Z303" s="230"/>
      <c r="AA303" s="230"/>
      <c r="AB303" s="230"/>
      <c r="AC303" s="230"/>
      <c r="AD303" s="230"/>
    </row>
    <row r="304" spans="1:30">
      <c r="A304" s="1009" t="s">
        <v>1369</v>
      </c>
      <c r="B304" s="1004">
        <v>0.15</v>
      </c>
      <c r="C304" s="977">
        <v>1.17E-2</v>
      </c>
      <c r="D304" s="977">
        <v>3.8E-3</v>
      </c>
      <c r="E304" s="1000" t="s">
        <v>327</v>
      </c>
      <c r="F304" s="230"/>
      <c r="G304" s="230"/>
      <c r="H304" s="230"/>
      <c r="I304" s="230"/>
      <c r="J304" s="230"/>
      <c r="K304" s="230"/>
      <c r="L304" s="230"/>
      <c r="M304" s="230"/>
      <c r="N304" s="230"/>
      <c r="O304" s="230"/>
      <c r="P304" s="230"/>
      <c r="Q304" s="230"/>
      <c r="R304" s="230"/>
      <c r="S304" s="230"/>
      <c r="T304" s="230"/>
      <c r="U304" s="230"/>
      <c r="V304" s="230"/>
      <c r="W304" s="230"/>
      <c r="X304" s="230"/>
      <c r="Y304" s="230"/>
      <c r="Z304" s="230"/>
      <c r="AA304" s="230"/>
      <c r="AB304" s="230"/>
      <c r="AC304" s="230"/>
      <c r="AD304" s="230"/>
    </row>
    <row r="305" spans="1:30">
      <c r="A305" s="1009" t="s">
        <v>1370</v>
      </c>
      <c r="B305" s="1004">
        <v>0.113</v>
      </c>
      <c r="C305" s="977">
        <v>9.1999999999999998E-3</v>
      </c>
      <c r="D305" s="977">
        <v>2.5999999999999999E-3</v>
      </c>
      <c r="E305" s="1000" t="s">
        <v>327</v>
      </c>
      <c r="F305" s="230"/>
      <c r="G305" s="230"/>
      <c r="H305" s="230"/>
      <c r="I305" s="230"/>
      <c r="J305" s="230"/>
      <c r="K305" s="230"/>
      <c r="L305" s="230"/>
      <c r="M305" s="230"/>
      <c r="N305" s="230"/>
      <c r="O305" s="230"/>
      <c r="P305" s="230"/>
      <c r="Q305" s="230"/>
      <c r="R305" s="230"/>
      <c r="S305" s="230"/>
      <c r="T305" s="230"/>
      <c r="U305" s="230"/>
      <c r="V305" s="230"/>
      <c r="W305" s="230"/>
      <c r="X305" s="230"/>
      <c r="Y305" s="230"/>
      <c r="Z305" s="230"/>
      <c r="AA305" s="230"/>
      <c r="AB305" s="230"/>
      <c r="AC305" s="230"/>
      <c r="AD305" s="230"/>
    </row>
    <row r="306" spans="1:30">
      <c r="A306" s="1001" t="s">
        <v>243</v>
      </c>
      <c r="B306" s="1010">
        <v>0.14799999999999999</v>
      </c>
      <c r="C306" s="1011">
        <v>1.23E-2</v>
      </c>
      <c r="D306" s="1011">
        <v>3.0000000000000001E-3</v>
      </c>
      <c r="E306" s="997" t="s">
        <v>327</v>
      </c>
      <c r="F306" s="230"/>
      <c r="G306" s="230"/>
      <c r="H306" s="230"/>
      <c r="I306" s="230"/>
      <c r="J306" s="230"/>
      <c r="K306" s="230"/>
      <c r="L306" s="230"/>
      <c r="M306" s="230"/>
      <c r="N306" s="230"/>
      <c r="O306" s="230"/>
      <c r="P306" s="230"/>
      <c r="Q306" s="230"/>
      <c r="R306" s="230"/>
      <c r="S306" s="230"/>
      <c r="T306" s="230"/>
      <c r="U306" s="230"/>
      <c r="V306" s="230"/>
      <c r="W306" s="230"/>
      <c r="X306" s="230"/>
      <c r="Y306" s="230"/>
      <c r="Z306" s="230"/>
      <c r="AA306" s="230"/>
      <c r="AB306" s="230"/>
      <c r="AC306" s="230"/>
      <c r="AD306" s="230"/>
    </row>
    <row r="307" spans="1:30">
      <c r="A307" s="1001" t="s">
        <v>244</v>
      </c>
      <c r="B307" s="1010">
        <v>9.9000000000000005E-2</v>
      </c>
      <c r="C307" s="1011">
        <v>8.8999999999999999E-3</v>
      </c>
      <c r="D307" s="1011">
        <v>1.2999999999999999E-3</v>
      </c>
      <c r="E307" s="997" t="s">
        <v>327</v>
      </c>
      <c r="F307" s="230"/>
      <c r="G307" s="230"/>
      <c r="H307" s="230"/>
      <c r="I307" s="230"/>
      <c r="J307" s="230"/>
      <c r="K307" s="230"/>
      <c r="L307" s="230"/>
      <c r="M307" s="230"/>
      <c r="N307" s="230"/>
      <c r="O307" s="230"/>
      <c r="P307" s="230"/>
      <c r="Q307" s="230"/>
      <c r="R307" s="230"/>
      <c r="S307" s="230"/>
      <c r="T307" s="230"/>
      <c r="U307" s="230"/>
      <c r="V307" s="230"/>
      <c r="W307" s="230"/>
      <c r="X307" s="230"/>
      <c r="Y307" s="230"/>
      <c r="Z307" s="230"/>
      <c r="AA307" s="230"/>
      <c r="AB307" s="230"/>
      <c r="AC307" s="230"/>
      <c r="AD307" s="230"/>
    </row>
    <row r="308" spans="1:30">
      <c r="A308" s="1001" t="s">
        <v>318</v>
      </c>
      <c r="B308" s="1004">
        <v>5.2999999999999999E-2</v>
      </c>
      <c r="C308" s="1012">
        <v>2.06E-2</v>
      </c>
      <c r="D308" s="977">
        <v>8.9999999999999998E-4</v>
      </c>
      <c r="E308" s="997" t="s">
        <v>327</v>
      </c>
      <c r="F308" s="230"/>
      <c r="G308" s="230"/>
      <c r="H308" s="230"/>
      <c r="I308" s="230"/>
      <c r="J308" s="230"/>
      <c r="K308" s="230"/>
      <c r="L308" s="230"/>
      <c r="M308" s="230"/>
      <c r="N308" s="230"/>
      <c r="O308" s="230"/>
      <c r="P308" s="230"/>
      <c r="Q308" s="230"/>
      <c r="R308" s="230"/>
      <c r="S308" s="230"/>
      <c r="T308" s="230"/>
      <c r="U308" s="230"/>
      <c r="V308" s="230"/>
      <c r="W308" s="230"/>
      <c r="X308" s="230"/>
      <c r="Y308" s="230"/>
      <c r="Z308" s="230"/>
      <c r="AA308" s="230"/>
      <c r="AB308" s="230"/>
      <c r="AC308" s="230"/>
      <c r="AD308" s="230"/>
    </row>
    <row r="309" spans="1:30">
      <c r="A309" s="906" t="s">
        <v>6</v>
      </c>
      <c r="B309" s="1013">
        <v>0.215</v>
      </c>
      <c r="C309" s="977">
        <v>7.7000000000000002E-3</v>
      </c>
      <c r="D309" s="977">
        <v>6.7999999999999996E-3</v>
      </c>
      <c r="E309" s="997" t="s">
        <v>327</v>
      </c>
      <c r="F309" s="230"/>
      <c r="G309" s="230"/>
      <c r="H309" s="230"/>
      <c r="I309" s="230"/>
      <c r="J309" s="230"/>
      <c r="K309" s="230"/>
      <c r="L309" s="230"/>
      <c r="M309" s="230"/>
      <c r="N309" s="230"/>
      <c r="O309" s="230"/>
      <c r="P309" s="230"/>
      <c r="Q309" s="230"/>
      <c r="R309" s="230"/>
      <c r="S309" s="230"/>
      <c r="T309" s="230"/>
      <c r="U309" s="230"/>
      <c r="V309" s="230"/>
      <c r="W309" s="230"/>
      <c r="X309" s="230"/>
      <c r="Y309" s="230"/>
      <c r="Z309" s="230"/>
      <c r="AA309" s="230"/>
      <c r="AB309" s="230"/>
      <c r="AC309" s="230"/>
      <c r="AD309" s="230"/>
    </row>
    <row r="310" spans="1:30" ht="25.5">
      <c r="A310" s="1002" t="s">
        <v>335</v>
      </c>
      <c r="B310" s="1004">
        <v>0.13300000000000001</v>
      </c>
      <c r="C310" s="977">
        <v>5.9999999999999995E-4</v>
      </c>
      <c r="D310" s="977">
        <v>4.1999999999999997E-3</v>
      </c>
      <c r="E310" s="997" t="s">
        <v>327</v>
      </c>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row>
    <row r="311" spans="1:30" ht="13.5" thickBot="1">
      <c r="A311" s="998" t="s">
        <v>620</v>
      </c>
      <c r="B311" s="1005">
        <v>0.16500000000000001</v>
      </c>
      <c r="C311" s="1014">
        <v>5.9999999999999995E-4</v>
      </c>
      <c r="D311" s="985">
        <v>5.1999999999999998E-3</v>
      </c>
      <c r="E311" s="999" t="s">
        <v>327</v>
      </c>
      <c r="F311" s="230"/>
      <c r="G311" s="230"/>
      <c r="H311" s="230"/>
      <c r="I311" s="230"/>
      <c r="J311" s="230"/>
      <c r="K311" s="230"/>
      <c r="L311" s="230"/>
      <c r="M311" s="230"/>
      <c r="N311" s="230"/>
      <c r="O311" s="230"/>
      <c r="P311" s="230"/>
      <c r="Q311" s="230"/>
      <c r="R311" s="230"/>
      <c r="S311" s="230"/>
      <c r="T311" s="230"/>
      <c r="U311" s="230"/>
      <c r="V311" s="230"/>
      <c r="W311" s="230"/>
      <c r="X311" s="230"/>
      <c r="Y311" s="230"/>
      <c r="Z311" s="230"/>
      <c r="AA311" s="230"/>
      <c r="AB311" s="230"/>
      <c r="AC311" s="230"/>
      <c r="AD311" s="230"/>
    </row>
    <row r="312" spans="1:30">
      <c r="A312" s="899" t="s">
        <v>336</v>
      </c>
      <c r="B312" s="899"/>
      <c r="C312" s="899"/>
      <c r="D312" s="899"/>
      <c r="E312" s="899"/>
      <c r="F312" s="230"/>
      <c r="G312" s="230"/>
      <c r="H312" s="230"/>
      <c r="I312" s="230"/>
      <c r="J312" s="230"/>
      <c r="K312" s="230"/>
      <c r="L312" s="230"/>
      <c r="M312" s="230"/>
      <c r="N312" s="230"/>
      <c r="O312" s="230"/>
      <c r="P312" s="230"/>
      <c r="Q312" s="230"/>
      <c r="R312" s="230"/>
      <c r="S312" s="230"/>
      <c r="T312" s="230"/>
      <c r="U312" s="230"/>
      <c r="V312" s="230"/>
      <c r="W312" s="230"/>
      <c r="X312" s="230"/>
      <c r="Y312" s="230"/>
      <c r="Z312" s="230"/>
      <c r="AA312" s="230"/>
      <c r="AB312" s="230"/>
      <c r="AC312" s="230"/>
      <c r="AD312" s="230"/>
    </row>
    <row r="313" spans="1:30" ht="77.45" customHeight="1">
      <c r="A313" s="1283" t="s">
        <v>1202</v>
      </c>
      <c r="B313" s="1283"/>
      <c r="C313" s="1283"/>
      <c r="D313" s="1283"/>
      <c r="E313" s="1283"/>
      <c r="F313" s="1283"/>
      <c r="G313" s="1283"/>
      <c r="H313" s="1283"/>
      <c r="I313" s="1283"/>
      <c r="J313" s="1283"/>
      <c r="K313" s="230"/>
      <c r="L313" s="230"/>
      <c r="M313" s="230"/>
      <c r="N313" s="230"/>
      <c r="O313" s="230"/>
      <c r="P313" s="230"/>
      <c r="Q313" s="230"/>
      <c r="R313" s="230"/>
      <c r="S313" s="230"/>
      <c r="T313" s="230"/>
      <c r="U313" s="230"/>
      <c r="V313" s="230"/>
      <c r="W313" s="230"/>
      <c r="X313" s="230"/>
      <c r="Y313" s="230"/>
      <c r="Z313" s="230"/>
      <c r="AA313" s="230"/>
      <c r="AB313" s="230"/>
      <c r="AC313" s="230"/>
      <c r="AD313" s="230"/>
    </row>
    <row r="314" spans="1:30">
      <c r="A314" s="944" t="s">
        <v>138</v>
      </c>
      <c r="B314" s="944"/>
      <c r="C314" s="944"/>
      <c r="D314" s="944"/>
      <c r="E314" s="944"/>
      <c r="F314" s="944"/>
      <c r="G314" s="944"/>
      <c r="H314" s="944"/>
      <c r="I314" s="944"/>
      <c r="J314" s="944"/>
      <c r="K314" s="230"/>
      <c r="L314" s="230"/>
      <c r="M314" s="230"/>
      <c r="N314" s="230"/>
      <c r="O314" s="230"/>
      <c r="P314" s="230"/>
      <c r="Q314" s="230"/>
      <c r="R314" s="230"/>
      <c r="S314" s="230"/>
      <c r="T314" s="230"/>
      <c r="U314" s="230"/>
      <c r="V314" s="230"/>
      <c r="W314" s="230"/>
      <c r="X314" s="230"/>
      <c r="Y314" s="230"/>
      <c r="Z314" s="230"/>
      <c r="AA314" s="230"/>
      <c r="AB314" s="230"/>
      <c r="AC314" s="230"/>
      <c r="AD314" s="230"/>
    </row>
    <row r="315" spans="1:30" ht="69.95" customHeight="1">
      <c r="A315" s="1283" t="s">
        <v>1203</v>
      </c>
      <c r="B315" s="1283"/>
      <c r="C315" s="1283"/>
      <c r="D315" s="1283"/>
      <c r="E315" s="1283"/>
      <c r="F315" s="1283"/>
      <c r="G315" s="1283"/>
      <c r="H315" s="1283"/>
      <c r="I315" s="1283"/>
      <c r="J315" s="1283"/>
      <c r="K315" s="230"/>
      <c r="L315" s="230"/>
      <c r="M315" s="230"/>
      <c r="N315" s="230"/>
      <c r="O315" s="230"/>
      <c r="P315" s="230"/>
      <c r="Q315" s="230"/>
      <c r="R315" s="230"/>
      <c r="S315" s="230"/>
      <c r="T315" s="230"/>
      <c r="U315" s="230"/>
      <c r="V315" s="230"/>
      <c r="W315" s="230"/>
      <c r="X315" s="230"/>
      <c r="Y315" s="230"/>
      <c r="Z315" s="230"/>
      <c r="AA315" s="230"/>
      <c r="AB315" s="230"/>
      <c r="AC315" s="230"/>
      <c r="AD315" s="230"/>
    </row>
    <row r="316" spans="1:30">
      <c r="A316" s="428"/>
      <c r="B316" s="324"/>
      <c r="C316" s="324"/>
      <c r="D316" s="324"/>
      <c r="E316" s="260"/>
      <c r="F316" s="230"/>
      <c r="G316" s="230"/>
      <c r="H316" s="230"/>
      <c r="I316" s="230"/>
      <c r="J316" s="230"/>
      <c r="K316" s="230"/>
      <c r="L316" s="230"/>
      <c r="M316" s="230"/>
      <c r="N316" s="230"/>
      <c r="O316" s="230"/>
      <c r="P316" s="230"/>
      <c r="Q316" s="230"/>
      <c r="R316" s="230"/>
      <c r="S316" s="230"/>
      <c r="T316" s="230"/>
      <c r="U316" s="230"/>
      <c r="V316" s="230"/>
      <c r="W316" s="230"/>
      <c r="X316" s="230"/>
      <c r="Y316" s="230"/>
      <c r="Z316" s="230"/>
      <c r="AA316" s="230"/>
      <c r="AB316" s="230"/>
      <c r="AC316" s="230"/>
      <c r="AD316" s="230"/>
    </row>
    <row r="317" spans="1:30" ht="13.5" thickBot="1">
      <c r="A317" s="376" t="s">
        <v>486</v>
      </c>
      <c r="B317" s="377"/>
      <c r="C317" s="377"/>
      <c r="D317" s="377"/>
      <c r="E317" s="377"/>
      <c r="F317" s="377"/>
      <c r="G317" s="377"/>
      <c r="H317" s="377"/>
      <c r="I317" s="230"/>
      <c r="J317" s="230"/>
      <c r="K317" s="230"/>
      <c r="L317" s="230"/>
      <c r="M317" s="230"/>
      <c r="N317" s="230"/>
      <c r="O317" s="230"/>
      <c r="P317" s="230"/>
      <c r="Q317" s="230"/>
      <c r="R317" s="230"/>
      <c r="S317" s="230"/>
      <c r="T317" s="230"/>
      <c r="U317" s="230"/>
      <c r="V317" s="230"/>
      <c r="W317" s="230"/>
      <c r="X317" s="230"/>
      <c r="Y317" s="230"/>
      <c r="Z317" s="230"/>
      <c r="AA317" s="230"/>
      <c r="AB317" s="230"/>
      <c r="AC317" s="230"/>
      <c r="AD317" s="230"/>
    </row>
    <row r="318" spans="1:30" ht="27.75" thickBot="1">
      <c r="A318" s="614" t="s">
        <v>145</v>
      </c>
      <c r="B318" s="274" t="s">
        <v>323</v>
      </c>
      <c r="C318" s="274" t="s">
        <v>324</v>
      </c>
      <c r="D318" s="274" t="s">
        <v>316</v>
      </c>
      <c r="E318" s="615" t="s">
        <v>169</v>
      </c>
      <c r="F318" s="230"/>
      <c r="G318" s="230"/>
      <c r="H318" s="230"/>
      <c r="I318" s="230"/>
      <c r="J318" s="230"/>
      <c r="K318" s="230"/>
      <c r="L318" s="230"/>
      <c r="M318" s="230"/>
      <c r="N318" s="230"/>
      <c r="O318" s="230"/>
      <c r="P318" s="230"/>
      <c r="Q318" s="230"/>
      <c r="R318" s="230"/>
      <c r="S318" s="230"/>
      <c r="T318" s="230"/>
      <c r="U318" s="230"/>
      <c r="V318" s="230"/>
      <c r="W318" s="230"/>
      <c r="X318" s="230"/>
      <c r="Y318" s="230"/>
      <c r="Z318" s="230"/>
      <c r="AA318" s="230"/>
      <c r="AB318" s="230"/>
      <c r="AC318" s="230"/>
      <c r="AD318" s="230"/>
    </row>
    <row r="319" spans="1:30">
      <c r="A319" s="900" t="s">
        <v>753</v>
      </c>
      <c r="B319" s="1003">
        <v>1.387</v>
      </c>
      <c r="C319" s="1003">
        <v>1.2999999999999999E-2</v>
      </c>
      <c r="D319" s="1003">
        <v>3.3000000000000002E-2</v>
      </c>
      <c r="E319" s="905" t="s">
        <v>326</v>
      </c>
      <c r="F319" s="230"/>
      <c r="G319" s="230"/>
      <c r="H319" s="230"/>
      <c r="I319" s="230"/>
      <c r="J319" s="230"/>
      <c r="K319" s="230"/>
      <c r="L319" s="230"/>
      <c r="M319" s="230"/>
      <c r="N319" s="230"/>
      <c r="O319" s="230"/>
      <c r="P319" s="230"/>
      <c r="Q319" s="230"/>
      <c r="R319" s="230"/>
      <c r="S319" s="230"/>
      <c r="T319" s="230"/>
      <c r="U319" s="230"/>
      <c r="V319" s="230"/>
      <c r="W319" s="230"/>
      <c r="X319" s="230"/>
      <c r="Y319" s="230"/>
      <c r="Z319" s="230"/>
      <c r="AA319" s="230"/>
      <c r="AB319" s="230"/>
      <c r="AC319" s="230"/>
      <c r="AD319" s="230"/>
    </row>
    <row r="320" spans="1:30" ht="14.25">
      <c r="A320" s="932" t="s">
        <v>1200</v>
      </c>
      <c r="B320" s="1004">
        <v>0.33500000000000002</v>
      </c>
      <c r="C320" s="1004">
        <v>8.9999999999999993E-3</v>
      </c>
      <c r="D320" s="1004">
        <v>8.0000000000000002E-3</v>
      </c>
      <c r="E320" s="945" t="s">
        <v>326</v>
      </c>
      <c r="F320" s="230"/>
      <c r="G320" s="230"/>
      <c r="H320" s="230"/>
      <c r="I320" s="230"/>
      <c r="J320" s="230"/>
      <c r="K320" s="230"/>
      <c r="L320" s="230"/>
      <c r="M320" s="230"/>
      <c r="N320" s="230"/>
      <c r="O320" s="230"/>
      <c r="P320" s="230"/>
      <c r="Q320" s="230"/>
      <c r="R320" s="230"/>
      <c r="S320" s="230"/>
      <c r="T320" s="230"/>
      <c r="U320" s="230"/>
      <c r="V320" s="230"/>
      <c r="W320" s="230"/>
      <c r="X320" s="230"/>
      <c r="Y320" s="230"/>
      <c r="Z320" s="230"/>
      <c r="AA320" s="230"/>
      <c r="AB320" s="230"/>
      <c r="AC320" s="230"/>
      <c r="AD320" s="230"/>
    </row>
    <row r="321" spans="1:30" ht="15" thickBot="1">
      <c r="A321" s="933" t="s">
        <v>1201</v>
      </c>
      <c r="B321" s="1005">
        <v>0.46100000000000002</v>
      </c>
      <c r="C321" s="1005">
        <v>1.2E-2</v>
      </c>
      <c r="D321" s="1005">
        <v>0.01</v>
      </c>
      <c r="E321" s="923" t="s">
        <v>326</v>
      </c>
      <c r="F321" s="230"/>
      <c r="G321" s="230"/>
      <c r="H321" s="230"/>
      <c r="I321" s="230"/>
      <c r="J321" s="230"/>
      <c r="K321" s="230"/>
      <c r="L321" s="230"/>
      <c r="M321" s="230"/>
      <c r="N321" s="230"/>
      <c r="O321" s="230"/>
      <c r="P321" s="230"/>
      <c r="Q321" s="230"/>
      <c r="R321" s="230"/>
      <c r="S321" s="230"/>
      <c r="T321" s="230"/>
      <c r="U321" s="230"/>
      <c r="V321" s="230"/>
      <c r="W321" s="230"/>
      <c r="X321" s="230"/>
      <c r="Y321" s="230"/>
      <c r="Z321" s="230"/>
      <c r="AA321" s="230"/>
      <c r="AB321" s="230"/>
      <c r="AC321" s="230"/>
      <c r="AD321" s="230"/>
    </row>
    <row r="322" spans="1:30">
      <c r="A322" s="900" t="s">
        <v>753</v>
      </c>
      <c r="B322" s="1003">
        <v>0.20699999999999999</v>
      </c>
      <c r="C322" s="1015">
        <v>2E-3</v>
      </c>
      <c r="D322" s="1015">
        <v>4.5999999999999999E-3</v>
      </c>
      <c r="E322" s="905" t="s">
        <v>322</v>
      </c>
      <c r="F322" s="230"/>
      <c r="G322" s="230"/>
      <c r="H322" s="230"/>
      <c r="I322" s="230"/>
      <c r="J322" s="230"/>
      <c r="K322" s="230"/>
      <c r="L322" s="230"/>
      <c r="M322" s="230"/>
      <c r="N322" s="230"/>
      <c r="O322" s="230"/>
      <c r="P322" s="230"/>
      <c r="Q322" s="230"/>
      <c r="R322" s="230"/>
      <c r="S322" s="230"/>
      <c r="T322" s="230"/>
      <c r="U322" s="230"/>
      <c r="V322" s="230"/>
      <c r="W322" s="230"/>
      <c r="X322" s="230"/>
      <c r="Y322" s="230"/>
      <c r="Z322" s="230"/>
      <c r="AA322" s="230"/>
      <c r="AB322" s="230"/>
      <c r="AC322" s="230"/>
      <c r="AD322" s="230"/>
    </row>
    <row r="323" spans="1:30">
      <c r="A323" s="912" t="s">
        <v>325</v>
      </c>
      <c r="B323" s="1004">
        <v>2.1000000000000001E-2</v>
      </c>
      <c r="C323" s="977">
        <v>1.6999999999999999E-3</v>
      </c>
      <c r="D323" s="977">
        <v>5.0000000000000001E-4</v>
      </c>
      <c r="E323" s="911" t="s">
        <v>322</v>
      </c>
      <c r="F323" s="230"/>
      <c r="G323" s="230"/>
      <c r="H323" s="230"/>
      <c r="I323" s="230"/>
      <c r="J323" s="230"/>
      <c r="K323" s="230"/>
      <c r="L323" s="230"/>
      <c r="M323" s="230"/>
      <c r="N323" s="230"/>
      <c r="O323" s="230"/>
      <c r="P323" s="230"/>
      <c r="Q323" s="230"/>
      <c r="R323" s="230"/>
      <c r="S323" s="230"/>
      <c r="T323" s="230"/>
      <c r="U323" s="230"/>
      <c r="V323" s="230"/>
      <c r="W323" s="230"/>
      <c r="X323" s="230"/>
      <c r="Y323" s="230"/>
      <c r="Z323" s="230"/>
      <c r="AA323" s="230"/>
      <c r="AB323" s="230"/>
      <c r="AC323" s="230"/>
      <c r="AD323" s="230"/>
    </row>
    <row r="324" spans="1:30" ht="12.75" customHeight="1">
      <c r="A324" s="912" t="s">
        <v>1204</v>
      </c>
      <c r="B324" s="1004">
        <v>0.04</v>
      </c>
      <c r="C324" s="977">
        <v>1.2200000000000001E-2</v>
      </c>
      <c r="D324" s="977">
        <v>1.6999999999999999E-3</v>
      </c>
      <c r="E324" s="911" t="s">
        <v>322</v>
      </c>
      <c r="F324" s="230"/>
      <c r="G324" s="230"/>
      <c r="H324" s="230"/>
      <c r="I324" s="230"/>
      <c r="J324" s="230"/>
      <c r="K324" s="230"/>
      <c r="L324" s="230"/>
      <c r="M324" s="230"/>
      <c r="N324" s="230"/>
      <c r="O324" s="230"/>
      <c r="P324" s="230"/>
      <c r="Q324" s="230"/>
      <c r="R324" s="230"/>
      <c r="S324" s="230"/>
      <c r="T324" s="230"/>
      <c r="U324" s="230"/>
      <c r="V324" s="230"/>
      <c r="W324" s="230"/>
      <c r="X324" s="230"/>
      <c r="Y324" s="230"/>
      <c r="Z324" s="230"/>
      <c r="AA324" s="230"/>
      <c r="AB324" s="230"/>
      <c r="AC324" s="230"/>
      <c r="AD324" s="230"/>
    </row>
    <row r="325" spans="1:30" ht="13.5" thickBot="1">
      <c r="A325" s="933" t="s">
        <v>257</v>
      </c>
      <c r="B325" s="1005">
        <v>1.2649999999999999</v>
      </c>
      <c r="C325" s="1016" t="s">
        <v>1196</v>
      </c>
      <c r="D325" s="985">
        <v>3.8899999999999997E-2</v>
      </c>
      <c r="E325" s="923" t="s">
        <v>322</v>
      </c>
      <c r="F325" s="230"/>
      <c r="G325" s="230"/>
      <c r="H325" s="230"/>
      <c r="I325" s="230"/>
      <c r="J325" s="230"/>
      <c r="K325" s="230"/>
      <c r="L325" s="230"/>
      <c r="M325" s="230"/>
      <c r="N325" s="230"/>
      <c r="O325" s="230"/>
      <c r="P325" s="230"/>
      <c r="Q325" s="230"/>
      <c r="R325" s="230"/>
      <c r="S325" s="230"/>
      <c r="T325" s="230"/>
      <c r="U325" s="230"/>
      <c r="V325" s="230"/>
      <c r="W325" s="230"/>
      <c r="X325" s="230"/>
      <c r="Y325" s="230"/>
      <c r="Z325" s="230"/>
      <c r="AA325" s="230"/>
      <c r="AB325" s="230"/>
      <c r="AC325" s="230"/>
      <c r="AD325" s="230"/>
    </row>
    <row r="326" spans="1:30">
      <c r="A326" s="484" t="s">
        <v>336</v>
      </c>
      <c r="B326" s="484"/>
      <c r="C326" s="484"/>
      <c r="D326" s="484"/>
      <c r="E326" s="484"/>
      <c r="F326" s="230"/>
      <c r="G326" s="230"/>
      <c r="H326" s="230"/>
      <c r="I326" s="230"/>
      <c r="J326" s="230"/>
      <c r="K326" s="230"/>
      <c r="L326" s="230"/>
      <c r="M326" s="230"/>
      <c r="N326" s="230"/>
      <c r="O326" s="230"/>
      <c r="P326" s="230"/>
      <c r="Q326" s="230"/>
      <c r="R326" s="230"/>
      <c r="S326" s="230"/>
      <c r="T326" s="230"/>
      <c r="U326" s="230"/>
      <c r="V326" s="230"/>
      <c r="W326" s="230"/>
      <c r="X326" s="230"/>
      <c r="Y326" s="230"/>
      <c r="Z326" s="230"/>
      <c r="AA326" s="230"/>
      <c r="AB326" s="230"/>
      <c r="AC326" s="230"/>
      <c r="AD326" s="230"/>
    </row>
    <row r="327" spans="1:30" ht="68.45" customHeight="1">
      <c r="A327" s="1284" t="s">
        <v>1205</v>
      </c>
      <c r="B327" s="1284"/>
      <c r="C327" s="1284"/>
      <c r="D327" s="1284"/>
      <c r="E327" s="1284"/>
      <c r="F327" s="1284"/>
      <c r="G327" s="1284"/>
      <c r="H327" s="1284"/>
      <c r="I327" s="1284"/>
      <c r="J327" s="1284"/>
      <c r="K327" s="230"/>
      <c r="L327" s="230"/>
      <c r="M327" s="230"/>
      <c r="N327" s="230"/>
      <c r="O327" s="230"/>
      <c r="P327" s="230"/>
      <c r="Q327" s="230"/>
      <c r="R327" s="230"/>
      <c r="S327" s="230"/>
      <c r="T327" s="230"/>
      <c r="U327" s="230"/>
      <c r="V327" s="230"/>
      <c r="W327" s="230"/>
      <c r="X327" s="230"/>
      <c r="Y327" s="230"/>
      <c r="Z327" s="230"/>
      <c r="AA327" s="230"/>
      <c r="AB327" s="230"/>
      <c r="AC327" s="230"/>
      <c r="AD327" s="230"/>
    </row>
    <row r="328" spans="1:30">
      <c r="A328" s="944" t="s">
        <v>138</v>
      </c>
      <c r="B328" s="944"/>
      <c r="C328" s="944"/>
      <c r="D328" s="944"/>
      <c r="E328" s="944"/>
      <c r="F328" s="944"/>
      <c r="G328" s="944"/>
      <c r="H328" s="944"/>
      <c r="I328" s="944"/>
      <c r="J328" s="944"/>
      <c r="K328" s="230"/>
      <c r="L328" s="230"/>
      <c r="M328" s="230"/>
      <c r="N328" s="230"/>
      <c r="O328" s="230"/>
      <c r="P328" s="230"/>
      <c r="Q328" s="230"/>
      <c r="R328" s="230"/>
      <c r="S328" s="230"/>
      <c r="T328" s="230"/>
      <c r="U328" s="230"/>
      <c r="V328" s="230"/>
      <c r="W328" s="230"/>
      <c r="X328" s="230"/>
      <c r="Y328" s="230"/>
      <c r="Z328" s="230"/>
      <c r="AA328" s="230"/>
      <c r="AB328" s="230"/>
      <c r="AC328" s="230"/>
      <c r="AD328" s="230"/>
    </row>
    <row r="329" spans="1:30" ht="64.900000000000006" customHeight="1">
      <c r="A329" s="1283" t="s">
        <v>1206</v>
      </c>
      <c r="B329" s="1283"/>
      <c r="C329" s="1283"/>
      <c r="D329" s="1283"/>
      <c r="E329" s="1283"/>
      <c r="F329" s="1283"/>
      <c r="G329" s="1283"/>
      <c r="H329" s="1283"/>
      <c r="I329" s="1283"/>
      <c r="J329" s="1283"/>
      <c r="K329" s="230"/>
      <c r="L329" s="230"/>
      <c r="M329" s="230"/>
      <c r="N329" s="230"/>
      <c r="O329" s="230"/>
      <c r="P329" s="230"/>
      <c r="Q329" s="230"/>
      <c r="R329" s="230"/>
      <c r="S329" s="230"/>
      <c r="T329" s="230"/>
      <c r="U329" s="230"/>
      <c r="V329" s="230"/>
      <c r="W329" s="230"/>
      <c r="X329" s="230"/>
      <c r="Y329" s="230"/>
      <c r="Z329" s="230"/>
      <c r="AA329" s="230"/>
      <c r="AB329" s="230"/>
      <c r="AC329" s="230"/>
      <c r="AD329" s="230"/>
    </row>
    <row r="330" spans="1:30">
      <c r="A330" s="230"/>
      <c r="B330" s="230"/>
      <c r="C330" s="230"/>
      <c r="D330" s="230"/>
      <c r="E330" s="230"/>
      <c r="F330" s="230"/>
      <c r="G330" s="230"/>
      <c r="H330" s="230"/>
      <c r="I330" s="230"/>
      <c r="J330" s="230"/>
      <c r="K330" s="230"/>
      <c r="L330" s="230"/>
      <c r="M330" s="230"/>
      <c r="N330" s="230"/>
      <c r="O330" s="230"/>
      <c r="P330" s="230"/>
      <c r="Q330" s="230"/>
      <c r="R330" s="230"/>
      <c r="S330" s="230"/>
      <c r="T330" s="230"/>
      <c r="U330" s="230"/>
      <c r="V330" s="230"/>
      <c r="W330" s="230"/>
      <c r="X330" s="230"/>
      <c r="Y330" s="230"/>
      <c r="Z330" s="230"/>
      <c r="AA330" s="230"/>
      <c r="AB330" s="230"/>
      <c r="AC330" s="230"/>
      <c r="AD330" s="230"/>
    </row>
    <row r="331" spans="1:30" ht="13.5" thickBot="1">
      <c r="A331" s="376" t="s">
        <v>857</v>
      </c>
      <c r="B331" s="377"/>
      <c r="C331" s="377"/>
      <c r="D331" s="377"/>
      <c r="E331" s="377"/>
      <c r="F331" s="377"/>
      <c r="G331" s="377"/>
      <c r="H331" s="377"/>
      <c r="I331" s="230"/>
      <c r="J331" s="230"/>
      <c r="K331" s="230"/>
      <c r="L331" s="230"/>
      <c r="M331" s="230"/>
      <c r="N331" s="230"/>
      <c r="O331" s="230"/>
      <c r="P331" s="230"/>
      <c r="Q331" s="230"/>
      <c r="R331" s="230"/>
      <c r="S331" s="230"/>
      <c r="T331" s="230"/>
      <c r="U331" s="230"/>
      <c r="V331" s="230"/>
      <c r="W331" s="230"/>
      <c r="X331" s="230"/>
      <c r="Y331" s="230"/>
      <c r="Z331" s="230"/>
      <c r="AA331" s="230"/>
      <c r="AB331" s="230"/>
      <c r="AC331" s="230"/>
      <c r="AD331" s="230"/>
    </row>
    <row r="332" spans="1:30" ht="13.5" thickBot="1">
      <c r="A332" s="294" t="s">
        <v>147</v>
      </c>
      <c r="B332" s="295" t="s">
        <v>858</v>
      </c>
      <c r="C332" s="230"/>
      <c r="D332" s="230"/>
      <c r="E332" s="230"/>
      <c r="F332" s="230"/>
      <c r="G332" s="230"/>
      <c r="H332" s="230"/>
      <c r="I332" s="230"/>
      <c r="J332" s="230"/>
      <c r="K332" s="230"/>
      <c r="L332" s="230"/>
      <c r="M332" s="230"/>
      <c r="N332" s="230"/>
      <c r="O332" s="230"/>
      <c r="P332" s="230"/>
      <c r="Q332" s="230"/>
      <c r="R332" s="230"/>
      <c r="S332" s="230"/>
      <c r="T332" s="230"/>
      <c r="U332" s="230"/>
      <c r="V332" s="230"/>
      <c r="W332" s="230"/>
      <c r="X332" s="230"/>
      <c r="Y332" s="230"/>
      <c r="Z332" s="230"/>
      <c r="AA332" s="230"/>
      <c r="AB332" s="230"/>
      <c r="AC332" s="230"/>
      <c r="AD332" s="230"/>
    </row>
    <row r="333" spans="1:30">
      <c r="A333" s="56" t="s">
        <v>37</v>
      </c>
      <c r="B333" s="773">
        <v>3.5000000000000003E-2</v>
      </c>
      <c r="C333" s="230"/>
      <c r="D333" s="230"/>
      <c r="E333" s="230"/>
      <c r="F333" s="230"/>
      <c r="G333" s="230"/>
      <c r="H333" s="230"/>
      <c r="I333" s="230"/>
      <c r="J333" s="230"/>
      <c r="K333" s="230"/>
      <c r="L333" s="230"/>
      <c r="M333" s="230"/>
      <c r="N333" s="230"/>
      <c r="O333" s="230"/>
      <c r="P333" s="230"/>
      <c r="Q333" s="230"/>
      <c r="R333" s="230"/>
      <c r="S333" s="230"/>
      <c r="T333" s="230"/>
      <c r="U333" s="230"/>
      <c r="V333" s="230"/>
      <c r="W333" s="230"/>
      <c r="X333" s="230"/>
      <c r="Y333" s="230"/>
      <c r="Z333" s="230"/>
      <c r="AA333" s="230"/>
      <c r="AB333" s="230"/>
      <c r="AC333" s="230"/>
      <c r="AD333" s="230"/>
    </row>
    <row r="334" spans="1:30" ht="13.5" thickBot="1">
      <c r="A334" s="842" t="s">
        <v>248</v>
      </c>
      <c r="B334" s="946">
        <v>2.5000000000000001E-2</v>
      </c>
      <c r="C334" s="230"/>
      <c r="D334" s="230"/>
      <c r="E334" s="230"/>
      <c r="F334" s="230"/>
      <c r="G334" s="230"/>
      <c r="H334" s="230"/>
      <c r="I334" s="230"/>
      <c r="J334" s="230"/>
      <c r="K334" s="230"/>
      <c r="L334" s="230"/>
      <c r="M334" s="230"/>
      <c r="N334" s="230"/>
      <c r="O334" s="230"/>
      <c r="P334" s="230"/>
      <c r="Q334" s="230"/>
      <c r="R334" s="230"/>
      <c r="S334" s="230"/>
      <c r="T334" s="230"/>
      <c r="U334" s="230"/>
      <c r="V334" s="230"/>
      <c r="W334" s="230"/>
      <c r="X334" s="230"/>
      <c r="Y334" s="230"/>
      <c r="Z334" s="230"/>
      <c r="AA334" s="230"/>
      <c r="AB334" s="230"/>
      <c r="AC334" s="230"/>
      <c r="AD334" s="230"/>
    </row>
    <row r="335" spans="1:30">
      <c r="A335" s="484" t="s">
        <v>336</v>
      </c>
      <c r="B335" s="484"/>
      <c r="C335" s="484"/>
      <c r="D335" s="484"/>
      <c r="E335" s="484"/>
      <c r="F335" s="230"/>
      <c r="G335" s="230"/>
      <c r="H335" s="230"/>
      <c r="I335" s="230"/>
      <c r="J335" s="230"/>
      <c r="K335" s="230"/>
      <c r="L335" s="230"/>
      <c r="M335" s="230"/>
      <c r="N335" s="230"/>
      <c r="O335" s="230"/>
      <c r="P335" s="230"/>
      <c r="Q335" s="230"/>
      <c r="R335" s="230"/>
      <c r="S335" s="230"/>
      <c r="T335" s="230"/>
      <c r="U335" s="230"/>
      <c r="V335" s="230"/>
      <c r="W335" s="230"/>
      <c r="X335" s="230"/>
      <c r="Y335" s="230"/>
      <c r="Z335" s="230"/>
      <c r="AA335" s="230"/>
      <c r="AB335" s="230"/>
      <c r="AC335" s="230"/>
      <c r="AD335" s="230"/>
    </row>
    <row r="336" spans="1:30">
      <c r="A336" s="1340" t="s">
        <v>1377</v>
      </c>
      <c r="B336" s="1340"/>
      <c r="C336" s="1340"/>
      <c r="D336" s="1340"/>
      <c r="E336" s="1340"/>
      <c r="F336" s="230"/>
      <c r="G336" s="230"/>
      <c r="H336" s="230"/>
      <c r="I336" s="230"/>
      <c r="J336" s="230"/>
      <c r="K336" s="230"/>
      <c r="L336" s="230"/>
      <c r="M336" s="230"/>
      <c r="N336" s="230"/>
      <c r="O336" s="230"/>
      <c r="P336" s="230"/>
      <c r="Q336" s="230"/>
      <c r="R336" s="230"/>
      <c r="S336" s="230"/>
      <c r="T336" s="230"/>
      <c r="U336" s="230"/>
      <c r="V336" s="230"/>
      <c r="W336" s="230"/>
      <c r="X336" s="230"/>
      <c r="Y336" s="230"/>
      <c r="Z336" s="230"/>
      <c r="AA336" s="230"/>
      <c r="AB336" s="230"/>
      <c r="AC336" s="230"/>
      <c r="AD336" s="230"/>
    </row>
    <row r="337" spans="1:30">
      <c r="A337" s="230"/>
      <c r="B337" s="230"/>
      <c r="C337" s="230"/>
      <c r="D337" s="230"/>
      <c r="E337" s="230"/>
      <c r="F337" s="230"/>
      <c r="G337" s="230"/>
      <c r="H337" s="230"/>
      <c r="I337" s="230"/>
      <c r="J337" s="230"/>
      <c r="K337" s="230"/>
      <c r="L337" s="230"/>
      <c r="M337" s="230"/>
      <c r="N337" s="230"/>
      <c r="O337" s="230"/>
      <c r="P337" s="230"/>
      <c r="Q337" s="230"/>
      <c r="R337" s="230"/>
      <c r="S337" s="230"/>
      <c r="T337" s="230"/>
      <c r="U337" s="230"/>
      <c r="V337" s="230"/>
      <c r="W337" s="230"/>
      <c r="X337" s="230"/>
      <c r="Y337" s="230"/>
      <c r="Z337" s="230"/>
      <c r="AA337" s="230"/>
      <c r="AB337" s="230"/>
      <c r="AC337" s="230"/>
      <c r="AD337" s="230"/>
    </row>
    <row r="338" spans="1:30" ht="13.5" thickBot="1">
      <c r="A338" s="376" t="s">
        <v>1280</v>
      </c>
      <c r="B338" s="377"/>
      <c r="C338" s="377"/>
      <c r="D338" s="377"/>
      <c r="E338" s="377"/>
      <c r="F338" s="377"/>
      <c r="G338" s="377"/>
      <c r="H338" s="377"/>
      <c r="I338" s="230"/>
      <c r="J338" s="230"/>
      <c r="K338" s="230"/>
      <c r="L338" s="230"/>
      <c r="M338" s="230"/>
      <c r="N338" s="230"/>
      <c r="O338" s="230"/>
      <c r="P338" s="230"/>
      <c r="Q338" s="230"/>
      <c r="R338" s="230"/>
      <c r="S338" s="230"/>
      <c r="T338" s="230"/>
      <c r="U338" s="230"/>
      <c r="V338" s="230"/>
      <c r="W338" s="230"/>
      <c r="X338" s="230"/>
      <c r="Y338" s="230"/>
      <c r="Z338" s="230"/>
      <c r="AA338" s="230"/>
      <c r="AB338" s="230"/>
      <c r="AC338" s="230"/>
      <c r="AD338" s="230"/>
    </row>
    <row r="339" spans="1:30" ht="15" thickBot="1">
      <c r="A339" s="1046"/>
      <c r="C339" s="1335" t="s">
        <v>1281</v>
      </c>
      <c r="D339" s="1336"/>
      <c r="E339" s="1336"/>
      <c r="F339" s="1336"/>
      <c r="G339" s="1336"/>
      <c r="H339" s="1337"/>
      <c r="I339" s="1096"/>
      <c r="J339" s="1096"/>
      <c r="K339" s="230"/>
      <c r="L339" s="230"/>
      <c r="M339" s="230"/>
      <c r="N339" s="230"/>
      <c r="O339" s="230"/>
      <c r="P339" s="230"/>
      <c r="Q339" s="230"/>
      <c r="R339" s="230"/>
      <c r="S339" s="230"/>
      <c r="T339" s="230"/>
      <c r="U339" s="230"/>
      <c r="V339" s="230"/>
      <c r="W339" s="230"/>
      <c r="X339" s="230"/>
      <c r="Y339" s="230"/>
      <c r="Z339" s="230"/>
      <c r="AA339" s="230"/>
      <c r="AB339" s="230"/>
      <c r="AC339" s="230"/>
      <c r="AD339" s="230"/>
    </row>
    <row r="340" spans="1:30" ht="64.5" thickBot="1">
      <c r="A340" s="1047" t="s">
        <v>1282</v>
      </c>
      <c r="B340" s="1047" t="s">
        <v>1350</v>
      </c>
      <c r="C340" s="1044" t="s">
        <v>1277</v>
      </c>
      <c r="D340" s="1044" t="s">
        <v>1278</v>
      </c>
      <c r="E340" s="1044" t="s">
        <v>168</v>
      </c>
      <c r="F340" s="1044" t="s">
        <v>1279</v>
      </c>
      <c r="G340" s="1044" t="s">
        <v>1275</v>
      </c>
      <c r="H340" s="1045" t="s">
        <v>1276</v>
      </c>
      <c r="I340" s="1097"/>
      <c r="J340" s="1097"/>
      <c r="K340" s="230"/>
      <c r="L340" s="230"/>
      <c r="M340" s="230"/>
      <c r="N340" s="230"/>
      <c r="O340" s="230"/>
      <c r="P340" s="230"/>
      <c r="Q340" s="230"/>
      <c r="R340" s="230"/>
      <c r="S340" s="230"/>
      <c r="T340" s="230"/>
      <c r="U340" s="230"/>
      <c r="V340" s="230"/>
      <c r="W340" s="230"/>
      <c r="X340" s="230"/>
      <c r="Y340" s="230"/>
      <c r="Z340" s="230"/>
      <c r="AA340" s="230"/>
      <c r="AB340" s="230"/>
      <c r="AC340" s="230"/>
      <c r="AD340" s="230"/>
    </row>
    <row r="341" spans="1:30">
      <c r="A341" s="1048" t="s">
        <v>1214</v>
      </c>
      <c r="B341" s="1048" t="s">
        <v>1214</v>
      </c>
      <c r="C341" s="1049">
        <v>0.06</v>
      </c>
      <c r="D341" s="1049">
        <v>0.02</v>
      </c>
      <c r="E341" s="1049">
        <v>0.01</v>
      </c>
      <c r="F341" s="1050" t="s">
        <v>1283</v>
      </c>
      <c r="G341" s="1050" t="s">
        <v>1283</v>
      </c>
      <c r="H341" s="1051" t="s">
        <v>1283</v>
      </c>
      <c r="I341" s="1097"/>
      <c r="J341" s="1097"/>
      <c r="K341" s="230"/>
      <c r="L341" s="230"/>
      <c r="M341" s="230"/>
      <c r="N341" s="230"/>
      <c r="O341" s="230"/>
      <c r="P341" s="230"/>
      <c r="Q341" s="230"/>
      <c r="R341" s="230"/>
      <c r="S341" s="230"/>
      <c r="T341" s="230"/>
      <c r="U341" s="230"/>
      <c r="V341" s="230"/>
      <c r="W341" s="230"/>
      <c r="X341" s="230"/>
      <c r="Y341" s="230"/>
      <c r="Z341" s="230"/>
      <c r="AA341" s="230"/>
      <c r="AB341" s="230"/>
      <c r="AC341" s="230"/>
      <c r="AD341" s="230"/>
    </row>
    <row r="342" spans="1:30">
      <c r="A342" s="1052" t="s">
        <v>1215</v>
      </c>
      <c r="B342" s="1052" t="s">
        <v>1215</v>
      </c>
      <c r="C342" s="1053">
        <v>0.04</v>
      </c>
      <c r="D342" s="1053">
        <v>0.02</v>
      </c>
      <c r="E342" s="1053">
        <v>0.01</v>
      </c>
      <c r="F342" s="1054" t="s">
        <v>1283</v>
      </c>
      <c r="G342" s="1054" t="s">
        <v>1283</v>
      </c>
      <c r="H342" s="1055" t="s">
        <v>1283</v>
      </c>
      <c r="I342" s="1097"/>
      <c r="J342" s="1097"/>
      <c r="K342" s="230"/>
      <c r="L342" s="230"/>
      <c r="M342" s="230"/>
      <c r="N342" s="230"/>
      <c r="O342" s="230"/>
      <c r="P342" s="230"/>
      <c r="Q342" s="230"/>
      <c r="R342" s="230"/>
      <c r="S342" s="230"/>
      <c r="T342" s="230"/>
      <c r="U342" s="230"/>
      <c r="V342" s="230"/>
      <c r="W342" s="230"/>
      <c r="X342" s="230"/>
      <c r="Y342" s="230"/>
      <c r="Z342" s="230"/>
      <c r="AA342" s="230"/>
      <c r="AB342" s="230"/>
      <c r="AC342" s="230"/>
      <c r="AD342" s="230"/>
    </row>
    <row r="343" spans="1:30">
      <c r="A343" s="1052" t="s">
        <v>1216</v>
      </c>
      <c r="B343" s="1052" t="s">
        <v>1216</v>
      </c>
      <c r="C343" s="1053">
        <v>0.32</v>
      </c>
      <c r="D343" s="1053">
        <v>0.02</v>
      </c>
      <c r="E343" s="1053">
        <v>0.01</v>
      </c>
      <c r="F343" s="1054" t="s">
        <v>1283</v>
      </c>
      <c r="G343" s="1054" t="s">
        <v>1283</v>
      </c>
      <c r="H343" s="1055" t="s">
        <v>1283</v>
      </c>
      <c r="I343" s="1097"/>
      <c r="J343" s="1097"/>
      <c r="K343" s="230"/>
      <c r="L343" s="230"/>
      <c r="M343" s="230"/>
      <c r="N343" s="230"/>
      <c r="O343" s="230"/>
      <c r="P343" s="230"/>
      <c r="Q343" s="230"/>
      <c r="R343" s="230"/>
      <c r="S343" s="230"/>
      <c r="T343" s="230"/>
      <c r="U343" s="230"/>
      <c r="V343" s="230"/>
      <c r="W343" s="230"/>
      <c r="X343" s="230"/>
      <c r="Y343" s="230"/>
      <c r="Z343" s="230"/>
      <c r="AA343" s="230"/>
      <c r="AB343" s="230"/>
      <c r="AC343" s="230"/>
      <c r="AD343" s="230"/>
    </row>
    <row r="344" spans="1:30">
      <c r="A344" s="1052" t="s">
        <v>1217</v>
      </c>
      <c r="B344" s="1052" t="s">
        <v>1217</v>
      </c>
      <c r="C344" s="1053">
        <v>0.18</v>
      </c>
      <c r="D344" s="1053">
        <v>0.02</v>
      </c>
      <c r="E344" s="1053">
        <v>0.01</v>
      </c>
      <c r="F344" s="1054" t="s">
        <v>1283</v>
      </c>
      <c r="G344" s="1054" t="s">
        <v>1283</v>
      </c>
      <c r="H344" s="1055" t="s">
        <v>1283</v>
      </c>
      <c r="I344" s="1097"/>
      <c r="J344" s="1097"/>
      <c r="K344" s="230"/>
      <c r="L344" s="230"/>
      <c r="M344" s="230"/>
      <c r="N344" s="230"/>
      <c r="O344" s="230"/>
      <c r="P344" s="230"/>
      <c r="Q344" s="230"/>
      <c r="R344" s="230"/>
      <c r="S344" s="230"/>
      <c r="T344" s="230"/>
      <c r="U344" s="230"/>
      <c r="V344" s="230"/>
      <c r="W344" s="230"/>
      <c r="X344" s="230"/>
      <c r="Y344" s="230"/>
      <c r="Z344" s="230"/>
      <c r="AA344" s="230"/>
      <c r="AB344" s="230"/>
      <c r="AC344" s="230"/>
      <c r="AD344" s="230"/>
    </row>
    <row r="345" spans="1:30">
      <c r="A345" s="1052" t="s">
        <v>1218</v>
      </c>
      <c r="B345" s="1052" t="s">
        <v>1218</v>
      </c>
      <c r="C345" s="1053">
        <v>0.05</v>
      </c>
      <c r="D345" s="1053">
        <v>0.02</v>
      </c>
      <c r="E345" s="1053">
        <v>0.01</v>
      </c>
      <c r="F345" s="1054" t="s">
        <v>1283</v>
      </c>
      <c r="G345" s="1054" t="s">
        <v>1283</v>
      </c>
      <c r="H345" s="1055" t="s">
        <v>1283</v>
      </c>
      <c r="I345" s="1097"/>
      <c r="J345" s="1097"/>
      <c r="K345" s="230"/>
      <c r="L345" s="230"/>
      <c r="M345" s="230"/>
      <c r="N345" s="230"/>
      <c r="O345" s="230"/>
      <c r="P345" s="230"/>
      <c r="Q345" s="230"/>
      <c r="R345" s="230"/>
      <c r="S345" s="230"/>
      <c r="T345" s="230"/>
      <c r="U345" s="230"/>
      <c r="V345" s="230"/>
      <c r="W345" s="230"/>
      <c r="X345" s="230"/>
      <c r="Y345" s="230"/>
      <c r="Z345" s="230"/>
      <c r="AA345" s="230"/>
      <c r="AB345" s="230"/>
      <c r="AC345" s="230"/>
      <c r="AD345" s="230"/>
    </row>
    <row r="346" spans="1:30">
      <c r="A346" s="1052" t="s">
        <v>1219</v>
      </c>
      <c r="B346" s="1052" t="s">
        <v>1219</v>
      </c>
      <c r="C346" s="1053">
        <v>0.21</v>
      </c>
      <c r="D346" s="1053">
        <v>0.02</v>
      </c>
      <c r="E346" s="1053">
        <v>2.8</v>
      </c>
      <c r="F346" s="1054" t="s">
        <v>1283</v>
      </c>
      <c r="G346" s="1054" t="s">
        <v>1283</v>
      </c>
      <c r="H346" s="1055" t="s">
        <v>1283</v>
      </c>
      <c r="I346" s="1097"/>
      <c r="J346" s="1097"/>
      <c r="K346" s="230"/>
      <c r="L346" s="230"/>
      <c r="M346" s="230"/>
      <c r="N346" s="230"/>
      <c r="O346" s="230"/>
      <c r="P346" s="230"/>
      <c r="Q346" s="230"/>
      <c r="R346" s="230"/>
      <c r="S346" s="230"/>
      <c r="T346" s="230"/>
      <c r="U346" s="230"/>
      <c r="V346" s="230"/>
      <c r="W346" s="230"/>
      <c r="X346" s="230"/>
      <c r="Y346" s="230"/>
      <c r="Z346" s="230"/>
      <c r="AA346" s="230"/>
      <c r="AB346" s="230"/>
      <c r="AC346" s="230"/>
      <c r="AD346" s="230"/>
    </row>
    <row r="347" spans="1:30">
      <c r="A347" s="1052" t="s">
        <v>1220</v>
      </c>
      <c r="B347" s="1052" t="s">
        <v>1220</v>
      </c>
      <c r="C347" s="1053" t="s">
        <v>1283</v>
      </c>
      <c r="D347" s="1053">
        <v>0.02</v>
      </c>
      <c r="E347" s="1053">
        <v>2.8</v>
      </c>
      <c r="F347" s="1054" t="s">
        <v>1283</v>
      </c>
      <c r="G347" s="1054" t="s">
        <v>1283</v>
      </c>
      <c r="H347" s="1055" t="s">
        <v>1283</v>
      </c>
      <c r="I347" s="1097"/>
      <c r="J347" s="1097"/>
      <c r="K347" s="230"/>
      <c r="L347" s="230"/>
      <c r="M347" s="230"/>
      <c r="N347" s="230"/>
      <c r="O347" s="230"/>
      <c r="P347" s="230"/>
      <c r="Q347" s="230"/>
      <c r="R347" s="230"/>
      <c r="S347" s="230"/>
      <c r="T347" s="230"/>
      <c r="U347" s="230"/>
      <c r="V347" s="230"/>
      <c r="W347" s="230"/>
      <c r="X347" s="230"/>
      <c r="Y347" s="230"/>
      <c r="Z347" s="230"/>
      <c r="AA347" s="230"/>
      <c r="AB347" s="230"/>
      <c r="AC347" s="230"/>
      <c r="AD347" s="230"/>
    </row>
    <row r="348" spans="1:30">
      <c r="A348" s="1052" t="s">
        <v>1221</v>
      </c>
      <c r="B348" s="1052" t="s">
        <v>1221</v>
      </c>
      <c r="C348" s="1053">
        <v>0.23</v>
      </c>
      <c r="D348" s="1053">
        <v>0.02</v>
      </c>
      <c r="E348" s="1053">
        <v>2.0499999999999998</v>
      </c>
      <c r="F348" s="1054" t="s">
        <v>1283</v>
      </c>
      <c r="G348" s="1054" t="s">
        <v>1283</v>
      </c>
      <c r="H348" s="1055" t="s">
        <v>1283</v>
      </c>
      <c r="I348" s="1097"/>
      <c r="J348" s="1097"/>
      <c r="K348" s="230"/>
      <c r="L348" s="230"/>
      <c r="M348" s="230"/>
      <c r="N348" s="230"/>
      <c r="O348" s="230"/>
      <c r="P348" s="230"/>
      <c r="Q348" s="230"/>
      <c r="R348" s="230"/>
      <c r="S348" s="230"/>
      <c r="T348" s="230"/>
      <c r="U348" s="230"/>
      <c r="V348" s="230"/>
      <c r="W348" s="230"/>
      <c r="X348" s="230"/>
      <c r="Y348" s="230"/>
      <c r="Z348" s="230"/>
      <c r="AA348" s="230"/>
      <c r="AB348" s="230"/>
      <c r="AC348" s="230"/>
      <c r="AD348" s="230"/>
    </row>
    <row r="349" spans="1:30">
      <c r="A349" s="1052" t="s">
        <v>1222</v>
      </c>
      <c r="B349" s="1052" t="s">
        <v>1222</v>
      </c>
      <c r="C349" s="1053" t="s">
        <v>1283</v>
      </c>
      <c r="D349" s="1053">
        <v>0.02</v>
      </c>
      <c r="E349" s="1053">
        <v>2.8</v>
      </c>
      <c r="F349" s="1054" t="s">
        <v>1283</v>
      </c>
      <c r="G349" s="1054" t="s">
        <v>1283</v>
      </c>
      <c r="H349" s="1055" t="s">
        <v>1283</v>
      </c>
      <c r="I349" s="1097"/>
      <c r="J349" s="1097"/>
      <c r="K349" s="230"/>
      <c r="L349" s="230"/>
      <c r="M349" s="230"/>
      <c r="N349" s="230"/>
      <c r="O349" s="230"/>
      <c r="P349" s="230"/>
      <c r="Q349" s="230"/>
      <c r="R349" s="230"/>
      <c r="S349" s="230"/>
      <c r="T349" s="230"/>
      <c r="U349" s="230"/>
      <c r="V349" s="230"/>
      <c r="W349" s="230"/>
      <c r="X349" s="230"/>
      <c r="Y349" s="230"/>
      <c r="Z349" s="230"/>
      <c r="AA349" s="230"/>
      <c r="AB349" s="230"/>
      <c r="AC349" s="230"/>
      <c r="AD349" s="230"/>
    </row>
    <row r="350" spans="1:30">
      <c r="A350" s="1052" t="s">
        <v>1223</v>
      </c>
      <c r="B350" s="1052" t="s">
        <v>1223</v>
      </c>
      <c r="C350" s="1053" t="s">
        <v>1283</v>
      </c>
      <c r="D350" s="1053">
        <v>0.02</v>
      </c>
      <c r="E350" s="1053">
        <v>2.8</v>
      </c>
      <c r="F350" s="1054" t="s">
        <v>1283</v>
      </c>
      <c r="G350" s="1054" t="s">
        <v>1283</v>
      </c>
      <c r="H350" s="1055" t="s">
        <v>1283</v>
      </c>
      <c r="I350" s="1097"/>
      <c r="J350" s="1097"/>
      <c r="K350" s="230"/>
      <c r="L350" s="230"/>
      <c r="M350" s="230"/>
      <c r="N350" s="230"/>
      <c r="O350" s="230"/>
      <c r="P350" s="230"/>
      <c r="Q350" s="230"/>
      <c r="R350" s="230"/>
      <c r="S350" s="230"/>
      <c r="T350" s="230"/>
      <c r="U350" s="230"/>
      <c r="V350" s="230"/>
      <c r="W350" s="230"/>
      <c r="X350" s="230"/>
      <c r="Y350" s="230"/>
      <c r="Z350" s="230"/>
      <c r="AA350" s="230"/>
      <c r="AB350" s="230"/>
      <c r="AC350" s="230"/>
      <c r="AD350" s="230"/>
    </row>
    <row r="351" spans="1:30">
      <c r="A351" s="1052" t="s">
        <v>1224</v>
      </c>
      <c r="B351" s="1052" t="s">
        <v>1224</v>
      </c>
      <c r="C351" s="1053" t="s">
        <v>1283</v>
      </c>
      <c r="D351" s="1053">
        <v>0.02</v>
      </c>
      <c r="E351" s="1053">
        <v>3.02</v>
      </c>
      <c r="F351" s="1054" t="s">
        <v>1283</v>
      </c>
      <c r="G351" s="1054" t="s">
        <v>1283</v>
      </c>
      <c r="H351" s="1055" t="s">
        <v>1283</v>
      </c>
      <c r="I351" s="1097"/>
      <c r="J351" s="1097"/>
      <c r="K351" s="230"/>
      <c r="L351" s="230"/>
      <c r="M351" s="230"/>
      <c r="N351" s="230"/>
      <c r="O351" s="230"/>
      <c r="P351" s="230"/>
      <c r="Q351" s="230"/>
      <c r="R351" s="230"/>
      <c r="S351" s="230"/>
      <c r="T351" s="230"/>
      <c r="U351" s="230"/>
      <c r="V351" s="230"/>
      <c r="W351" s="230"/>
      <c r="X351" s="230"/>
      <c r="Y351" s="230"/>
      <c r="Z351" s="230"/>
      <c r="AA351" s="230"/>
      <c r="AB351" s="230"/>
      <c r="AC351" s="230"/>
      <c r="AD351" s="230"/>
    </row>
    <row r="352" spans="1:30">
      <c r="A352" s="1052" t="s">
        <v>1225</v>
      </c>
      <c r="B352" s="1052" t="s">
        <v>1225</v>
      </c>
      <c r="C352" s="1053" t="s">
        <v>1283</v>
      </c>
      <c r="D352" s="1053">
        <v>0.02</v>
      </c>
      <c r="E352" s="1053">
        <v>1.26</v>
      </c>
      <c r="F352" s="1054" t="s">
        <v>1283</v>
      </c>
      <c r="G352" s="1054" t="s">
        <v>1283</v>
      </c>
      <c r="H352" s="1055" t="s">
        <v>1283</v>
      </c>
      <c r="I352" s="1097"/>
      <c r="J352" s="1097"/>
      <c r="K352" s="230"/>
      <c r="L352" s="230"/>
      <c r="M352" s="230"/>
      <c r="N352" s="230"/>
      <c r="O352" s="230"/>
      <c r="P352" s="230"/>
      <c r="Q352" s="230"/>
      <c r="R352" s="230"/>
      <c r="S352" s="230"/>
      <c r="T352" s="230"/>
      <c r="U352" s="230"/>
      <c r="V352" s="230"/>
      <c r="W352" s="230"/>
      <c r="X352" s="230"/>
      <c r="Y352" s="230"/>
      <c r="Z352" s="230"/>
      <c r="AA352" s="230"/>
      <c r="AB352" s="230"/>
      <c r="AC352" s="230"/>
      <c r="AD352" s="230"/>
    </row>
    <row r="353" spans="1:30">
      <c r="A353" s="1052" t="s">
        <v>1226</v>
      </c>
      <c r="B353" s="1052" t="s">
        <v>1226</v>
      </c>
      <c r="C353" s="1053" t="s">
        <v>1283</v>
      </c>
      <c r="D353" s="1053">
        <v>0.02</v>
      </c>
      <c r="E353" s="1053">
        <v>0.01</v>
      </c>
      <c r="F353" s="1056">
        <v>0.09</v>
      </c>
      <c r="G353" s="1054" t="s">
        <v>1283</v>
      </c>
      <c r="H353" s="1055" t="s">
        <v>1283</v>
      </c>
      <c r="I353" s="1097"/>
      <c r="J353" s="1097"/>
      <c r="K353" s="230"/>
      <c r="L353" s="230"/>
      <c r="M353" s="230"/>
      <c r="N353" s="230"/>
      <c r="O353" s="230"/>
      <c r="P353" s="230"/>
      <c r="Q353" s="230"/>
      <c r="R353" s="230"/>
      <c r="S353" s="230"/>
      <c r="T353" s="230"/>
      <c r="U353" s="230"/>
      <c r="V353" s="230"/>
      <c r="W353" s="230"/>
      <c r="X353" s="230"/>
      <c r="Y353" s="230"/>
      <c r="Z353" s="230"/>
      <c r="AA353" s="230"/>
      <c r="AB353" s="230"/>
      <c r="AC353" s="230"/>
      <c r="AD353" s="230"/>
    </row>
    <row r="354" spans="1:30">
      <c r="A354" s="1052" t="s">
        <v>1227</v>
      </c>
      <c r="B354" s="1052" t="s">
        <v>1227</v>
      </c>
      <c r="C354" s="1053">
        <v>0.11</v>
      </c>
      <c r="D354" s="1053">
        <v>1.07</v>
      </c>
      <c r="E354" s="1053">
        <v>0.05</v>
      </c>
      <c r="F354" s="1056" t="s">
        <v>1283</v>
      </c>
      <c r="G354" s="1054" t="s">
        <v>1283</v>
      </c>
      <c r="H354" s="1055" t="s">
        <v>1283</v>
      </c>
      <c r="I354" s="1097"/>
      <c r="J354" s="1097"/>
      <c r="K354" s="230"/>
      <c r="L354" s="230"/>
      <c r="M354" s="230"/>
      <c r="N354" s="230"/>
      <c r="O354" s="230"/>
      <c r="P354" s="230"/>
      <c r="Q354" s="230"/>
      <c r="R354" s="230"/>
      <c r="S354" s="230"/>
      <c r="T354" s="230"/>
      <c r="U354" s="230"/>
      <c r="V354" s="230"/>
      <c r="W354" s="230"/>
      <c r="X354" s="230"/>
      <c r="Y354" s="230"/>
      <c r="Z354" s="230"/>
      <c r="AA354" s="230"/>
      <c r="AB354" s="230"/>
      <c r="AC354" s="230"/>
      <c r="AD354" s="230"/>
    </row>
    <row r="355" spans="1:30">
      <c r="A355" s="1052" t="s">
        <v>1228</v>
      </c>
      <c r="B355" s="1052" t="s">
        <v>1358</v>
      </c>
      <c r="C355" s="1053">
        <v>0.02</v>
      </c>
      <c r="D355" s="1053">
        <v>0.5</v>
      </c>
      <c r="E355" s="1053">
        <v>0.05</v>
      </c>
      <c r="F355" s="1056" t="s">
        <v>1283</v>
      </c>
      <c r="G355" s="1054" t="s">
        <v>1283</v>
      </c>
      <c r="H355" s="1055" t="s">
        <v>1283</v>
      </c>
      <c r="I355" s="1097"/>
      <c r="J355" s="1097"/>
      <c r="K355" s="230"/>
      <c r="L355" s="230"/>
      <c r="M355" s="230"/>
      <c r="N355" s="230"/>
      <c r="O355" s="230"/>
      <c r="P355" s="230"/>
      <c r="Q355" s="230"/>
      <c r="R355" s="230"/>
      <c r="S355" s="230"/>
      <c r="T355" s="230"/>
      <c r="U355" s="230"/>
      <c r="V355" s="230"/>
      <c r="W355" s="230"/>
      <c r="X355" s="230"/>
      <c r="Y355" s="230"/>
      <c r="Z355" s="230"/>
      <c r="AA355" s="230"/>
      <c r="AB355" s="230"/>
      <c r="AC355" s="230"/>
      <c r="AD355" s="230"/>
    </row>
    <row r="356" spans="1:30">
      <c r="A356" s="1052" t="s">
        <v>1229</v>
      </c>
      <c r="B356" s="1052" t="s">
        <v>1229</v>
      </c>
      <c r="C356" s="1053">
        <v>0.02</v>
      </c>
      <c r="D356" s="1053">
        <v>0.42</v>
      </c>
      <c r="E356" s="1053">
        <v>0.05</v>
      </c>
      <c r="F356" s="1056" t="s">
        <v>1283</v>
      </c>
      <c r="G356" s="1054" t="s">
        <v>1283</v>
      </c>
      <c r="H356" s="1055" t="s">
        <v>1283</v>
      </c>
      <c r="I356" s="1097"/>
      <c r="J356" s="1097"/>
      <c r="K356" s="230"/>
      <c r="L356" s="230"/>
      <c r="M356" s="230"/>
      <c r="N356" s="230"/>
      <c r="O356" s="230"/>
      <c r="P356" s="230"/>
      <c r="Q356" s="230"/>
      <c r="R356" s="230"/>
      <c r="S356" s="230"/>
      <c r="T356" s="230"/>
      <c r="U356" s="230"/>
      <c r="V356" s="230"/>
      <c r="W356" s="230"/>
      <c r="X356" s="230"/>
      <c r="Y356" s="230"/>
      <c r="Z356" s="230"/>
      <c r="AA356" s="230"/>
      <c r="AB356" s="230"/>
      <c r="AC356" s="230"/>
      <c r="AD356" s="230"/>
    </row>
    <row r="357" spans="1:30">
      <c r="A357" s="1052" t="s">
        <v>1230</v>
      </c>
      <c r="B357" s="1052" t="s">
        <v>1230</v>
      </c>
      <c r="C357" s="1053">
        <v>0.02</v>
      </c>
      <c r="D357" s="1053">
        <v>1.52</v>
      </c>
      <c r="E357" s="1053">
        <v>0.05</v>
      </c>
      <c r="F357" s="1056" t="s">
        <v>1283</v>
      </c>
      <c r="G357" s="1054" t="s">
        <v>1283</v>
      </c>
      <c r="H357" s="1055" t="s">
        <v>1283</v>
      </c>
      <c r="I357" s="1097"/>
      <c r="J357" s="1097"/>
      <c r="K357" s="230"/>
      <c r="L357" s="230"/>
      <c r="M357" s="230"/>
      <c r="N357" s="230"/>
      <c r="O357" s="230"/>
      <c r="P357" s="230"/>
      <c r="Q357" s="230"/>
      <c r="R357" s="230"/>
      <c r="S357" s="230"/>
      <c r="T357" s="230"/>
      <c r="U357" s="230"/>
      <c r="V357" s="230"/>
      <c r="W357" s="230"/>
      <c r="X357" s="230"/>
      <c r="Y357" s="230"/>
      <c r="Z357" s="230"/>
      <c r="AA357" s="230"/>
      <c r="AB357" s="230"/>
      <c r="AC357" s="230"/>
      <c r="AD357" s="230"/>
    </row>
    <row r="358" spans="1:30">
      <c r="A358" s="1052" t="s">
        <v>1231</v>
      </c>
      <c r="B358" s="1052" t="s">
        <v>1231</v>
      </c>
      <c r="C358" s="1053">
        <v>0.04</v>
      </c>
      <c r="D358" s="1053">
        <v>0.42</v>
      </c>
      <c r="E358" s="1053">
        <v>0.05</v>
      </c>
      <c r="F358" s="1056" t="s">
        <v>1283</v>
      </c>
      <c r="G358" s="1054" t="s">
        <v>1283</v>
      </c>
      <c r="H358" s="1055" t="s">
        <v>1283</v>
      </c>
      <c r="I358" s="1097"/>
      <c r="J358" s="1097"/>
      <c r="K358" s="230"/>
      <c r="L358" s="230"/>
      <c r="M358" s="230"/>
      <c r="N358" s="230"/>
      <c r="O358" s="230"/>
      <c r="P358" s="230"/>
      <c r="Q358" s="230"/>
      <c r="R358" s="230"/>
      <c r="S358" s="230"/>
      <c r="T358" s="230"/>
      <c r="U358" s="230"/>
      <c r="V358" s="230"/>
      <c r="W358" s="230"/>
      <c r="X358" s="230"/>
      <c r="Y358" s="230"/>
      <c r="Z358" s="230"/>
      <c r="AA358" s="230"/>
      <c r="AB358" s="230"/>
      <c r="AC358" s="230"/>
      <c r="AD358" s="230"/>
    </row>
    <row r="359" spans="1:30">
      <c r="A359" s="1052" t="s">
        <v>1232</v>
      </c>
      <c r="B359" s="1052" t="s">
        <v>1232</v>
      </c>
      <c r="C359" s="1053">
        <v>0.04</v>
      </c>
      <c r="D359" s="1053">
        <v>1.52</v>
      </c>
      <c r="E359" s="1053">
        <v>0.05</v>
      </c>
      <c r="F359" s="1056" t="s">
        <v>1283</v>
      </c>
      <c r="G359" s="1054" t="s">
        <v>1283</v>
      </c>
      <c r="H359" s="1055" t="s">
        <v>1283</v>
      </c>
      <c r="I359" s="1097"/>
      <c r="J359" s="1097"/>
      <c r="K359" s="230"/>
      <c r="L359" s="230"/>
      <c r="M359" s="230"/>
      <c r="N359" s="230"/>
      <c r="O359" s="230"/>
      <c r="P359" s="230"/>
      <c r="Q359" s="230"/>
      <c r="R359" s="230"/>
      <c r="S359" s="230"/>
      <c r="T359" s="230"/>
      <c r="U359" s="230"/>
      <c r="V359" s="230"/>
      <c r="W359" s="230"/>
      <c r="X359" s="230"/>
      <c r="Y359" s="230"/>
      <c r="Z359" s="230"/>
      <c r="AA359" s="230"/>
      <c r="AB359" s="230"/>
      <c r="AC359" s="230"/>
      <c r="AD359" s="230"/>
    </row>
    <row r="360" spans="1:30">
      <c r="A360" s="1052" t="s">
        <v>1233</v>
      </c>
      <c r="B360" s="1052" t="s">
        <v>1233</v>
      </c>
      <c r="C360" s="1053">
        <v>0.09</v>
      </c>
      <c r="D360" s="1053">
        <v>0.08</v>
      </c>
      <c r="E360" s="1053">
        <v>0.05</v>
      </c>
      <c r="F360" s="1056" t="s">
        <v>1283</v>
      </c>
      <c r="G360" s="1054" t="s">
        <v>1283</v>
      </c>
      <c r="H360" s="1055" t="s">
        <v>1283</v>
      </c>
      <c r="I360" s="1097"/>
      <c r="J360" s="1097"/>
      <c r="K360" s="230"/>
      <c r="L360" s="230"/>
      <c r="M360" s="230"/>
      <c r="N360" s="230"/>
      <c r="O360" s="230"/>
      <c r="P360" s="230"/>
      <c r="Q360" s="230"/>
      <c r="R360" s="230"/>
      <c r="S360" s="230"/>
      <c r="T360" s="230"/>
      <c r="U360" s="230"/>
      <c r="V360" s="230"/>
      <c r="W360" s="230"/>
      <c r="X360" s="230"/>
      <c r="Y360" s="230"/>
      <c r="Z360" s="230"/>
      <c r="AA360" s="230"/>
      <c r="AB360" s="230"/>
      <c r="AC360" s="230"/>
      <c r="AD360" s="230"/>
    </row>
    <row r="361" spans="1:30">
      <c r="A361" s="1052" t="s">
        <v>1234</v>
      </c>
      <c r="B361" s="1052" t="s">
        <v>1357</v>
      </c>
      <c r="C361" s="1053">
        <v>0.15</v>
      </c>
      <c r="D361" s="1053">
        <v>0.04</v>
      </c>
      <c r="E361" s="1053">
        <v>0.05</v>
      </c>
      <c r="F361" s="1056" t="s">
        <v>1283</v>
      </c>
      <c r="G361" s="1054" t="s">
        <v>1283</v>
      </c>
      <c r="H361" s="1055" t="s">
        <v>1283</v>
      </c>
      <c r="I361" s="1097"/>
      <c r="J361" s="1097"/>
      <c r="K361" s="230"/>
      <c r="L361" s="230"/>
      <c r="M361" s="230"/>
      <c r="N361" s="230"/>
      <c r="O361" s="230"/>
      <c r="P361" s="230"/>
      <c r="Q361" s="230"/>
      <c r="R361" s="230"/>
      <c r="S361" s="230"/>
      <c r="T361" s="230"/>
      <c r="U361" s="230"/>
      <c r="V361" s="230"/>
      <c r="W361" s="230"/>
      <c r="X361" s="230"/>
      <c r="Y361" s="230"/>
      <c r="Z361" s="230"/>
      <c r="AA361" s="230"/>
      <c r="AB361" s="230"/>
      <c r="AC361" s="230"/>
      <c r="AD361" s="230"/>
    </row>
    <row r="362" spans="1:30">
      <c r="A362" s="1052" t="s">
        <v>1235</v>
      </c>
      <c r="B362" s="1052" t="s">
        <v>1356</v>
      </c>
      <c r="C362" s="1053" t="s">
        <v>1283</v>
      </c>
      <c r="D362" s="1053">
        <v>0.68</v>
      </c>
      <c r="E362" s="1053">
        <v>0.05</v>
      </c>
      <c r="F362" s="1056">
        <v>7.0000000000000007E-2</v>
      </c>
      <c r="G362" s="1056">
        <v>0.14000000000000001</v>
      </c>
      <c r="H362" s="1057">
        <v>0.11</v>
      </c>
      <c r="I362" s="1097"/>
      <c r="J362" s="1097"/>
      <c r="K362" s="230"/>
      <c r="L362" s="230"/>
      <c r="M362" s="230"/>
      <c r="N362" s="230"/>
      <c r="O362" s="230"/>
      <c r="P362" s="230"/>
      <c r="Q362" s="230"/>
      <c r="R362" s="230"/>
      <c r="S362" s="230"/>
      <c r="T362" s="230"/>
      <c r="U362" s="230"/>
      <c r="V362" s="230"/>
      <c r="W362" s="230"/>
      <c r="X362" s="230"/>
      <c r="Y362" s="230"/>
      <c r="Z362" s="230"/>
      <c r="AA362" s="230"/>
      <c r="AB362" s="230"/>
      <c r="AC362" s="230"/>
      <c r="AD362" s="230"/>
    </row>
    <row r="363" spans="1:30">
      <c r="A363" s="1052" t="s">
        <v>1236</v>
      </c>
      <c r="B363" s="1052" t="s">
        <v>1351</v>
      </c>
      <c r="C363" s="1053" t="s">
        <v>1283</v>
      </c>
      <c r="D363" s="1053">
        <v>0.68</v>
      </c>
      <c r="E363" s="1053">
        <v>0.05</v>
      </c>
      <c r="F363" s="1056" t="s">
        <v>1283</v>
      </c>
      <c r="G363" s="1056">
        <v>0.14000000000000001</v>
      </c>
      <c r="H363" s="1057">
        <v>0.11</v>
      </c>
      <c r="I363" s="1097"/>
      <c r="J363" s="1097"/>
      <c r="K363" s="230"/>
      <c r="L363" s="230"/>
      <c r="M363" s="230"/>
      <c r="N363" s="230"/>
      <c r="O363" s="230"/>
      <c r="P363" s="230"/>
      <c r="Q363" s="230"/>
      <c r="R363" s="230"/>
      <c r="S363" s="230"/>
      <c r="T363" s="230"/>
      <c r="U363" s="230"/>
      <c r="V363" s="230"/>
      <c r="W363" s="230"/>
      <c r="X363" s="230"/>
      <c r="Y363" s="230"/>
      <c r="Z363" s="230"/>
      <c r="AA363" s="230"/>
      <c r="AB363" s="230"/>
      <c r="AC363" s="230"/>
      <c r="AD363" s="230"/>
    </row>
    <row r="364" spans="1:30">
      <c r="A364" s="1052" t="s">
        <v>1237</v>
      </c>
      <c r="B364" s="1052" t="s">
        <v>1237</v>
      </c>
      <c r="C364" s="1053" t="s">
        <v>1283</v>
      </c>
      <c r="D364" s="1053">
        <v>0.68</v>
      </c>
      <c r="E364" s="1053">
        <v>0.05</v>
      </c>
      <c r="F364" s="1056">
        <v>7.0000000000000007E-2</v>
      </c>
      <c r="G364" s="1056">
        <v>0.14000000000000001</v>
      </c>
      <c r="H364" s="1057">
        <v>0.11</v>
      </c>
      <c r="I364" s="1097"/>
      <c r="J364" s="1097"/>
      <c r="K364" s="230"/>
      <c r="L364" s="230"/>
      <c r="M364" s="230"/>
      <c r="N364" s="230"/>
      <c r="O364" s="230"/>
      <c r="P364" s="230"/>
      <c r="Q364" s="230"/>
      <c r="R364" s="230"/>
      <c r="S364" s="230"/>
      <c r="T364" s="230"/>
      <c r="U364" s="230"/>
      <c r="V364" s="230"/>
      <c r="W364" s="230"/>
      <c r="X364" s="230"/>
      <c r="Y364" s="230"/>
      <c r="Z364" s="230"/>
      <c r="AA364" s="230"/>
      <c r="AB364" s="230"/>
      <c r="AC364" s="230"/>
      <c r="AD364" s="230"/>
    </row>
    <row r="365" spans="1:30">
      <c r="A365" s="1052" t="s">
        <v>1238</v>
      </c>
      <c r="B365" s="1052" t="s">
        <v>1238</v>
      </c>
      <c r="C365" s="1053" t="s">
        <v>1283</v>
      </c>
      <c r="D365" s="1053">
        <v>0.68</v>
      </c>
      <c r="E365" s="1053">
        <v>0.05</v>
      </c>
      <c r="F365" s="1056">
        <v>7.0000000000000007E-2</v>
      </c>
      <c r="G365" s="1056">
        <v>0.14000000000000001</v>
      </c>
      <c r="H365" s="1057">
        <v>0.11</v>
      </c>
      <c r="I365" s="1097"/>
      <c r="J365" s="1097"/>
      <c r="K365" s="230"/>
      <c r="L365" s="230"/>
      <c r="M365" s="230"/>
      <c r="N365" s="230"/>
      <c r="O365" s="230"/>
      <c r="P365" s="230"/>
      <c r="Q365" s="230"/>
      <c r="R365" s="230"/>
      <c r="S365" s="230"/>
      <c r="T365" s="230"/>
      <c r="U365" s="230"/>
      <c r="V365" s="230"/>
      <c r="W365" s="230"/>
      <c r="X365" s="230"/>
      <c r="Y365" s="230"/>
      <c r="Z365" s="230"/>
      <c r="AA365" s="230"/>
      <c r="AB365" s="230"/>
      <c r="AC365" s="230"/>
      <c r="AD365" s="230"/>
    </row>
    <row r="366" spans="1:30">
      <c r="A366" s="1052" t="s">
        <v>1239</v>
      </c>
      <c r="B366" s="1052" t="s">
        <v>1239</v>
      </c>
      <c r="C366" s="1053" t="s">
        <v>1283</v>
      </c>
      <c r="D366" s="1053">
        <v>0.68</v>
      </c>
      <c r="E366" s="1053">
        <v>0.05</v>
      </c>
      <c r="F366" s="1056">
        <v>7.0000000000000007E-2</v>
      </c>
      <c r="G366" s="1056">
        <v>0.14000000000000001</v>
      </c>
      <c r="H366" s="1057">
        <v>0.11</v>
      </c>
      <c r="I366" s="1097"/>
      <c r="J366" s="1097"/>
      <c r="K366" s="230"/>
      <c r="L366" s="230"/>
      <c r="M366" s="230"/>
      <c r="N366" s="230"/>
      <c r="O366" s="230"/>
      <c r="P366" s="230"/>
      <c r="Q366" s="230"/>
      <c r="R366" s="230"/>
      <c r="S366" s="230"/>
      <c r="T366" s="230"/>
      <c r="U366" s="230"/>
      <c r="V366" s="230"/>
      <c r="W366" s="230"/>
      <c r="X366" s="230"/>
      <c r="Y366" s="230"/>
      <c r="Z366" s="230"/>
      <c r="AA366" s="230"/>
      <c r="AB366" s="230"/>
      <c r="AC366" s="230"/>
      <c r="AD366" s="230"/>
    </row>
    <row r="367" spans="1:30">
      <c r="A367" s="1052" t="s">
        <v>1240</v>
      </c>
      <c r="B367" s="1052" t="s">
        <v>1240</v>
      </c>
      <c r="C367" s="1053" t="s">
        <v>1283</v>
      </c>
      <c r="D367" s="1053">
        <v>0.68</v>
      </c>
      <c r="E367" s="1053">
        <v>0.05</v>
      </c>
      <c r="F367" s="1056">
        <v>7.0000000000000007E-2</v>
      </c>
      <c r="G367" s="1056">
        <v>0.14000000000000001</v>
      </c>
      <c r="H367" s="1057">
        <v>0.11</v>
      </c>
      <c r="I367" s="1097"/>
      <c r="J367" s="1097"/>
      <c r="K367" s="230"/>
      <c r="L367" s="230"/>
      <c r="M367" s="230"/>
      <c r="N367" s="230"/>
      <c r="O367" s="230"/>
      <c r="P367" s="230"/>
      <c r="Q367" s="230"/>
      <c r="R367" s="230"/>
      <c r="S367" s="230"/>
      <c r="T367" s="230"/>
      <c r="U367" s="230"/>
      <c r="V367" s="230"/>
      <c r="W367" s="230"/>
      <c r="X367" s="230"/>
      <c r="Y367" s="230"/>
      <c r="Z367" s="230"/>
      <c r="AA367" s="230"/>
      <c r="AB367" s="230"/>
      <c r="AC367" s="230"/>
      <c r="AD367" s="230"/>
    </row>
    <row r="368" spans="1:30">
      <c r="A368" s="1052" t="s">
        <v>1241</v>
      </c>
      <c r="B368" s="1052" t="s">
        <v>1241</v>
      </c>
      <c r="C368" s="1053" t="s">
        <v>1283</v>
      </c>
      <c r="D368" s="1053">
        <v>0.68</v>
      </c>
      <c r="E368" s="1053">
        <v>0.05</v>
      </c>
      <c r="F368" s="1056">
        <v>7.0000000000000007E-2</v>
      </c>
      <c r="G368" s="1056">
        <v>0.14000000000000001</v>
      </c>
      <c r="H368" s="1057">
        <v>0.11</v>
      </c>
      <c r="I368" s="1097"/>
      <c r="J368" s="1097"/>
      <c r="K368" s="230"/>
      <c r="L368" s="230"/>
      <c r="M368" s="230"/>
      <c r="N368" s="230"/>
      <c r="O368" s="230"/>
      <c r="P368" s="230"/>
      <c r="Q368" s="230"/>
      <c r="R368" s="230"/>
      <c r="S368" s="230"/>
      <c r="T368" s="230"/>
      <c r="U368" s="230"/>
      <c r="V368" s="230"/>
      <c r="W368" s="230"/>
      <c r="X368" s="230"/>
      <c r="Y368" s="230"/>
      <c r="Z368" s="230"/>
      <c r="AA368" s="230"/>
      <c r="AB368" s="230"/>
      <c r="AC368" s="230"/>
      <c r="AD368" s="230"/>
    </row>
    <row r="369" spans="1:30">
      <c r="A369" s="1052" t="s">
        <v>1242</v>
      </c>
      <c r="B369" s="1052" t="s">
        <v>1242</v>
      </c>
      <c r="C369" s="1053" t="s">
        <v>1283</v>
      </c>
      <c r="D369" s="1053">
        <v>0.68</v>
      </c>
      <c r="E369" s="1053">
        <v>0.05</v>
      </c>
      <c r="F369" s="1056">
        <v>7.0000000000000007E-2</v>
      </c>
      <c r="G369" s="1056">
        <v>0.14000000000000001</v>
      </c>
      <c r="H369" s="1057">
        <v>0.11</v>
      </c>
      <c r="I369" s="1097"/>
      <c r="J369" s="1097"/>
      <c r="K369" s="230"/>
      <c r="L369" s="230"/>
      <c r="M369" s="230"/>
      <c r="N369" s="230"/>
      <c r="O369" s="230"/>
      <c r="P369" s="230"/>
      <c r="Q369" s="230"/>
      <c r="R369" s="230"/>
      <c r="S369" s="230"/>
      <c r="T369" s="230"/>
      <c r="U369" s="230"/>
      <c r="V369" s="230"/>
      <c r="W369" s="230"/>
      <c r="X369" s="230"/>
      <c r="Y369" s="230"/>
      <c r="Z369" s="230"/>
      <c r="AA369" s="230"/>
      <c r="AB369" s="230"/>
      <c r="AC369" s="230"/>
      <c r="AD369" s="230"/>
    </row>
    <row r="370" spans="1:30">
      <c r="A370" s="1052" t="s">
        <v>1243</v>
      </c>
      <c r="B370" s="1052" t="s">
        <v>1243</v>
      </c>
      <c r="C370" s="1053" t="s">
        <v>1283</v>
      </c>
      <c r="D370" s="1053">
        <v>0.38</v>
      </c>
      <c r="E370" s="1053">
        <v>0.05</v>
      </c>
      <c r="F370" s="1056">
        <v>0.09</v>
      </c>
      <c r="G370" s="1056">
        <v>0.11</v>
      </c>
      <c r="H370" s="1057" t="s">
        <v>1283</v>
      </c>
      <c r="I370" s="1097"/>
      <c r="J370" s="1097"/>
      <c r="K370" s="230"/>
      <c r="L370" s="230"/>
      <c r="M370" s="230"/>
      <c r="N370" s="230"/>
      <c r="O370" s="230"/>
      <c r="P370" s="230"/>
      <c r="Q370" s="230"/>
      <c r="R370" s="230"/>
      <c r="S370" s="230"/>
      <c r="T370" s="230"/>
      <c r="U370" s="230"/>
      <c r="V370" s="230"/>
      <c r="W370" s="230"/>
      <c r="X370" s="230"/>
      <c r="Y370" s="230"/>
      <c r="Z370" s="230"/>
      <c r="AA370" s="230"/>
      <c r="AB370" s="230"/>
      <c r="AC370" s="230"/>
      <c r="AD370" s="230"/>
    </row>
    <row r="371" spans="1:30">
      <c r="A371" s="1052" t="s">
        <v>1244</v>
      </c>
      <c r="B371" s="1052" t="s">
        <v>1244</v>
      </c>
      <c r="C371" s="1053" t="s">
        <v>1283</v>
      </c>
      <c r="D371" s="1053">
        <v>0.28999999999999998</v>
      </c>
      <c r="E371" s="1053">
        <v>0.05</v>
      </c>
      <c r="F371" s="1056">
        <v>0.09</v>
      </c>
      <c r="G371" s="1056">
        <v>0.09</v>
      </c>
      <c r="H371" s="1057" t="s">
        <v>1283</v>
      </c>
      <c r="I371" s="1097"/>
      <c r="J371" s="1097"/>
      <c r="K371" s="230"/>
      <c r="L371" s="230"/>
      <c r="M371" s="230"/>
      <c r="N371" s="230"/>
      <c r="O371" s="230"/>
      <c r="P371" s="230"/>
      <c r="Q371" s="230"/>
      <c r="R371" s="230"/>
      <c r="S371" s="230"/>
      <c r="T371" s="230"/>
      <c r="U371" s="230"/>
      <c r="V371" s="230"/>
      <c r="W371" s="230"/>
      <c r="X371" s="230"/>
      <c r="Y371" s="230"/>
      <c r="Z371" s="230"/>
      <c r="AA371" s="230"/>
      <c r="AB371" s="230"/>
      <c r="AC371" s="230"/>
      <c r="AD371" s="230"/>
    </row>
    <row r="372" spans="1:30">
      <c r="A372" s="1052" t="s">
        <v>1245</v>
      </c>
      <c r="B372" s="1052" t="s">
        <v>1245</v>
      </c>
      <c r="C372" s="1053" t="s">
        <v>1283</v>
      </c>
      <c r="D372" s="1053">
        <v>0.3</v>
      </c>
      <c r="E372" s="1053">
        <v>0.05</v>
      </c>
      <c r="F372" s="1056">
        <v>0.09</v>
      </c>
      <c r="G372" s="1056">
        <v>0.13</v>
      </c>
      <c r="H372" s="1057" t="s">
        <v>1283</v>
      </c>
      <c r="I372" s="1097"/>
      <c r="J372" s="1097"/>
      <c r="K372" s="230"/>
      <c r="L372" s="230"/>
      <c r="M372" s="230"/>
      <c r="N372" s="230"/>
      <c r="O372" s="230"/>
      <c r="P372" s="230"/>
      <c r="Q372" s="230"/>
      <c r="R372" s="230"/>
      <c r="S372" s="230"/>
      <c r="T372" s="230"/>
      <c r="U372" s="230"/>
      <c r="V372" s="230"/>
      <c r="W372" s="230"/>
      <c r="X372" s="230"/>
      <c r="Y372" s="230"/>
      <c r="Z372" s="230"/>
      <c r="AA372" s="230"/>
      <c r="AB372" s="230"/>
      <c r="AC372" s="230"/>
      <c r="AD372" s="230"/>
    </row>
    <row r="373" spans="1:30">
      <c r="A373" s="1052" t="s">
        <v>1246</v>
      </c>
      <c r="B373" s="1052" t="s">
        <v>1246</v>
      </c>
      <c r="C373" s="1053" t="s">
        <v>1283</v>
      </c>
      <c r="D373" s="1053">
        <v>0.62</v>
      </c>
      <c r="E373" s="1053">
        <v>0.05</v>
      </c>
      <c r="F373" s="1056">
        <v>0.09</v>
      </c>
      <c r="G373" s="1056">
        <v>0.16</v>
      </c>
      <c r="H373" s="1057" t="s">
        <v>1283</v>
      </c>
      <c r="I373" s="1097"/>
      <c r="J373" s="1097"/>
      <c r="K373" s="230"/>
      <c r="L373" s="230"/>
      <c r="M373" s="230"/>
      <c r="N373" s="230"/>
      <c r="O373" s="230"/>
      <c r="P373" s="230"/>
      <c r="Q373" s="230"/>
      <c r="R373" s="230"/>
      <c r="S373" s="230"/>
      <c r="T373" s="230"/>
      <c r="U373" s="230"/>
      <c r="V373" s="230"/>
      <c r="W373" s="230"/>
      <c r="X373" s="230"/>
      <c r="Y373" s="230"/>
      <c r="Z373" s="230"/>
      <c r="AA373" s="230"/>
      <c r="AB373" s="230"/>
      <c r="AC373" s="230"/>
      <c r="AD373" s="230"/>
    </row>
    <row r="374" spans="1:30">
      <c r="A374" s="1052" t="s">
        <v>1247</v>
      </c>
      <c r="B374" s="1052" t="s">
        <v>1349</v>
      </c>
      <c r="C374" s="1053">
        <v>7.0000000000000007E-2</v>
      </c>
      <c r="D374" s="1053">
        <v>0.95</v>
      </c>
      <c r="E374" s="1053">
        <v>0.05</v>
      </c>
      <c r="F374" s="1056" t="s">
        <v>1283</v>
      </c>
      <c r="G374" s="1056" t="s">
        <v>1283</v>
      </c>
      <c r="H374" s="1057" t="s">
        <v>1283</v>
      </c>
      <c r="I374" s="1097"/>
      <c r="J374" s="1097"/>
      <c r="K374" s="230"/>
      <c r="L374" s="230"/>
      <c r="M374" s="230"/>
      <c r="N374" s="230"/>
      <c r="O374" s="230"/>
      <c r="P374" s="230"/>
      <c r="Q374" s="230"/>
      <c r="R374" s="230"/>
      <c r="S374" s="230"/>
      <c r="T374" s="230"/>
      <c r="U374" s="230"/>
      <c r="V374" s="230"/>
      <c r="W374" s="230"/>
      <c r="X374" s="230"/>
      <c r="Y374" s="230"/>
      <c r="Z374" s="230"/>
      <c r="AA374" s="230"/>
      <c r="AB374" s="230"/>
      <c r="AC374" s="230"/>
      <c r="AD374" s="230"/>
    </row>
    <row r="375" spans="1:30">
      <c r="A375" s="1052" t="s">
        <v>1248</v>
      </c>
      <c r="B375" s="1052" t="s">
        <v>1352</v>
      </c>
      <c r="C375" s="1053">
        <v>7.0000000000000007E-2</v>
      </c>
      <c r="D375" s="1053">
        <v>0.92</v>
      </c>
      <c r="E375" s="1053">
        <v>0.05</v>
      </c>
      <c r="F375" s="1056" t="s">
        <v>1283</v>
      </c>
      <c r="G375" s="1056" t="s">
        <v>1283</v>
      </c>
      <c r="H375" s="1057" t="s">
        <v>1283</v>
      </c>
      <c r="I375" s="1097"/>
      <c r="J375" s="1097"/>
      <c r="K375" s="230"/>
      <c r="L375" s="230"/>
      <c r="M375" s="230"/>
      <c r="N375" s="230"/>
      <c r="O375" s="230"/>
      <c r="P375" s="230"/>
      <c r="Q375" s="230"/>
      <c r="R375" s="230"/>
      <c r="S375" s="230"/>
      <c r="T375" s="230"/>
      <c r="U375" s="230"/>
      <c r="V375" s="230"/>
      <c r="W375" s="230"/>
      <c r="X375" s="230"/>
      <c r="Y375" s="230"/>
      <c r="Z375" s="230"/>
      <c r="AA375" s="230"/>
      <c r="AB375" s="230"/>
      <c r="AC375" s="230"/>
      <c r="AD375" s="230"/>
    </row>
    <row r="376" spans="1:30">
      <c r="A376" s="1052" t="s">
        <v>1249</v>
      </c>
      <c r="B376" s="1052" t="s">
        <v>1353</v>
      </c>
      <c r="C376" s="1053">
        <v>0.03</v>
      </c>
      <c r="D376" s="1053">
        <v>0.9</v>
      </c>
      <c r="E376" s="1053">
        <v>0.05</v>
      </c>
      <c r="F376" s="1056" t="s">
        <v>1283</v>
      </c>
      <c r="G376" s="1056" t="s">
        <v>1283</v>
      </c>
      <c r="H376" s="1057" t="s">
        <v>1283</v>
      </c>
      <c r="I376" s="1097"/>
      <c r="J376" s="1097"/>
      <c r="K376" s="230"/>
      <c r="L376" s="230"/>
      <c r="M376" s="230"/>
      <c r="N376" s="230"/>
      <c r="O376" s="230"/>
      <c r="P376" s="230"/>
      <c r="Q376" s="230"/>
      <c r="R376" s="230"/>
      <c r="S376" s="230"/>
      <c r="T376" s="230"/>
      <c r="U376" s="230"/>
      <c r="V376" s="230"/>
      <c r="W376" s="230"/>
      <c r="X376" s="230"/>
      <c r="Y376" s="230"/>
      <c r="Z376" s="230"/>
      <c r="AA376" s="230"/>
      <c r="AB376" s="230"/>
      <c r="AC376" s="230"/>
      <c r="AD376" s="230"/>
    </row>
    <row r="377" spans="1:30">
      <c r="A377" s="1052" t="s">
        <v>1250</v>
      </c>
      <c r="B377" s="1052" t="s">
        <v>1250</v>
      </c>
      <c r="C377" s="1053">
        <v>0.23</v>
      </c>
      <c r="D377" s="1053">
        <v>0.02</v>
      </c>
      <c r="E377" s="1053">
        <v>0.01</v>
      </c>
      <c r="F377" s="1056" t="s">
        <v>1283</v>
      </c>
      <c r="G377" s="1056" t="s">
        <v>1283</v>
      </c>
      <c r="H377" s="1057" t="s">
        <v>1283</v>
      </c>
      <c r="I377" s="1097"/>
      <c r="J377" s="1097"/>
      <c r="K377" s="230"/>
      <c r="L377" s="230"/>
      <c r="M377" s="230"/>
      <c r="N377" s="230"/>
      <c r="O377" s="230"/>
      <c r="P377" s="230"/>
      <c r="Q377" s="230"/>
      <c r="R377" s="230"/>
      <c r="S377" s="230"/>
      <c r="T377" s="230"/>
      <c r="U377" s="230"/>
      <c r="V377" s="230"/>
      <c r="W377" s="230"/>
      <c r="X377" s="230"/>
      <c r="Y377" s="230"/>
      <c r="Z377" s="230"/>
      <c r="AA377" s="230"/>
      <c r="AB377" s="230"/>
      <c r="AC377" s="230"/>
      <c r="AD377" s="230"/>
    </row>
    <row r="378" spans="1:30">
      <c r="A378" s="1052" t="s">
        <v>1251</v>
      </c>
      <c r="B378" s="1052" t="s">
        <v>1251</v>
      </c>
      <c r="C378" s="1053">
        <v>0.22</v>
      </c>
      <c r="D378" s="1053">
        <v>0.02</v>
      </c>
      <c r="E378" s="1053">
        <v>2.34</v>
      </c>
      <c r="F378" s="1056" t="s">
        <v>1283</v>
      </c>
      <c r="G378" s="1056" t="s">
        <v>1283</v>
      </c>
      <c r="H378" s="1057" t="s">
        <v>1283</v>
      </c>
      <c r="I378" s="1097"/>
      <c r="J378" s="1097"/>
      <c r="K378" s="230"/>
      <c r="L378" s="230"/>
      <c r="M378" s="230"/>
      <c r="N378" s="230"/>
      <c r="O378" s="230"/>
      <c r="P378" s="230"/>
      <c r="Q378" s="230"/>
      <c r="R378" s="230"/>
      <c r="S378" s="230"/>
      <c r="T378" s="230"/>
      <c r="U378" s="230"/>
      <c r="V378" s="230"/>
      <c r="W378" s="230"/>
      <c r="X378" s="230"/>
      <c r="Y378" s="230"/>
      <c r="Z378" s="230"/>
      <c r="AA378" s="230"/>
      <c r="AB378" s="230"/>
      <c r="AC378" s="230"/>
      <c r="AD378" s="230"/>
    </row>
    <row r="379" spans="1:30">
      <c r="A379" s="1052" t="s">
        <v>1252</v>
      </c>
      <c r="B379" s="1052" t="s">
        <v>1252</v>
      </c>
      <c r="C379" s="1053">
        <v>0.09</v>
      </c>
      <c r="D379" s="1053">
        <v>0.81</v>
      </c>
      <c r="E379" s="1053">
        <v>0.11</v>
      </c>
      <c r="F379" s="1056" t="s">
        <v>1283</v>
      </c>
      <c r="G379" s="1056" t="s">
        <v>1283</v>
      </c>
      <c r="H379" s="1057" t="s">
        <v>1283</v>
      </c>
      <c r="I379" s="1097"/>
      <c r="J379" s="1097"/>
      <c r="K379" s="230"/>
      <c r="L379" s="230"/>
      <c r="M379" s="230"/>
      <c r="N379" s="230"/>
      <c r="O379" s="230"/>
      <c r="P379" s="230"/>
      <c r="Q379" s="230"/>
      <c r="R379" s="230"/>
      <c r="S379" s="230"/>
      <c r="T379" s="230"/>
      <c r="U379" s="230"/>
      <c r="V379" s="230"/>
      <c r="W379" s="230"/>
      <c r="X379" s="230"/>
      <c r="Y379" s="230"/>
      <c r="Z379" s="230"/>
      <c r="AA379" s="230"/>
      <c r="AB379" s="230"/>
      <c r="AC379" s="230"/>
      <c r="AD379" s="230"/>
    </row>
    <row r="380" spans="1:30">
      <c r="A380" s="1052" t="s">
        <v>1253</v>
      </c>
      <c r="B380" s="1052" t="s">
        <v>1253</v>
      </c>
      <c r="C380" s="1053" t="s">
        <v>1283</v>
      </c>
      <c r="D380" s="1053">
        <v>0.68</v>
      </c>
      <c r="E380" s="1053">
        <v>0.05</v>
      </c>
      <c r="F380" s="1056">
        <v>7.0000000000000007E-2</v>
      </c>
      <c r="G380" s="1056" t="s">
        <v>1283</v>
      </c>
      <c r="H380" s="1057" t="s">
        <v>1283</v>
      </c>
      <c r="I380" s="1097"/>
      <c r="J380" s="1097"/>
      <c r="K380" s="230"/>
      <c r="L380" s="230"/>
      <c r="M380" s="230"/>
      <c r="N380" s="230"/>
      <c r="O380" s="230"/>
      <c r="P380" s="230"/>
      <c r="Q380" s="230"/>
      <c r="R380" s="230"/>
      <c r="S380" s="230"/>
      <c r="T380" s="230"/>
      <c r="U380" s="230"/>
      <c r="V380" s="230"/>
      <c r="W380" s="230"/>
      <c r="X380" s="230"/>
      <c r="Y380" s="230"/>
      <c r="Z380" s="230"/>
      <c r="AA380" s="230"/>
      <c r="AB380" s="230"/>
      <c r="AC380" s="230"/>
      <c r="AD380" s="230"/>
    </row>
    <row r="381" spans="1:30">
      <c r="A381" s="1052" t="s">
        <v>1254</v>
      </c>
      <c r="B381" s="1052" t="s">
        <v>1254</v>
      </c>
      <c r="C381" s="1053" t="s">
        <v>1283</v>
      </c>
      <c r="D381" s="1053">
        <v>0.55000000000000004</v>
      </c>
      <c r="E381" s="1053">
        <v>0.05</v>
      </c>
      <c r="F381" s="1056">
        <v>0.09</v>
      </c>
      <c r="G381" s="1056" t="s">
        <v>1283</v>
      </c>
      <c r="H381" s="1057" t="s">
        <v>1283</v>
      </c>
      <c r="I381" s="1097"/>
      <c r="J381" s="1097"/>
      <c r="K381" s="230"/>
      <c r="L381" s="230"/>
      <c r="M381" s="230"/>
      <c r="N381" s="230"/>
      <c r="O381" s="230"/>
      <c r="P381" s="230"/>
      <c r="Q381" s="230"/>
      <c r="R381" s="230"/>
      <c r="S381" s="230"/>
      <c r="T381" s="230"/>
      <c r="U381" s="230"/>
      <c r="V381" s="230"/>
      <c r="W381" s="230"/>
      <c r="X381" s="230"/>
      <c r="Y381" s="230"/>
      <c r="Z381" s="230"/>
      <c r="AA381" s="230"/>
      <c r="AB381" s="230"/>
      <c r="AC381" s="230"/>
      <c r="AD381" s="230"/>
    </row>
    <row r="382" spans="1:30">
      <c r="A382" s="1052" t="s">
        <v>1255</v>
      </c>
      <c r="B382" s="1052" t="s">
        <v>1354</v>
      </c>
      <c r="C382" s="1053" t="s">
        <v>1283</v>
      </c>
      <c r="D382" s="1053">
        <v>0.63</v>
      </c>
      <c r="E382" s="1053">
        <v>0.43</v>
      </c>
      <c r="F382" s="1056" t="s">
        <v>1283</v>
      </c>
      <c r="G382" s="1056" t="s">
        <v>1283</v>
      </c>
      <c r="H382" s="1057" t="s">
        <v>1283</v>
      </c>
      <c r="I382" s="1097"/>
      <c r="J382" s="1097"/>
      <c r="K382" s="230"/>
      <c r="L382" s="230"/>
      <c r="M382" s="230"/>
      <c r="N382" s="230"/>
      <c r="O382" s="230"/>
      <c r="P382" s="230"/>
      <c r="Q382" s="230"/>
      <c r="R382" s="230"/>
      <c r="S382" s="230"/>
      <c r="T382" s="230"/>
      <c r="U382" s="230"/>
      <c r="V382" s="230"/>
      <c r="W382" s="230"/>
      <c r="X382" s="230"/>
      <c r="Y382" s="230"/>
      <c r="Z382" s="230"/>
      <c r="AA382" s="230"/>
      <c r="AB382" s="230"/>
      <c r="AC382" s="230"/>
      <c r="AD382" s="230"/>
    </row>
    <row r="383" spans="1:30">
      <c r="A383" s="1052" t="s">
        <v>1256</v>
      </c>
      <c r="B383" s="1052" t="s">
        <v>1256</v>
      </c>
      <c r="C383" s="1053" t="s">
        <v>1283</v>
      </c>
      <c r="D383" s="1053">
        <v>0.02</v>
      </c>
      <c r="E383" s="1053">
        <v>1.68</v>
      </c>
      <c r="F383" s="1054" t="s">
        <v>1283</v>
      </c>
      <c r="G383" s="1054" t="s">
        <v>1283</v>
      </c>
      <c r="H383" s="1055" t="s">
        <v>1283</v>
      </c>
      <c r="I383" s="1097"/>
      <c r="J383" s="1097"/>
      <c r="K383" s="230"/>
      <c r="L383" s="230"/>
      <c r="M383" s="230"/>
      <c r="N383" s="230"/>
      <c r="O383" s="230"/>
      <c r="P383" s="230"/>
      <c r="Q383" s="230"/>
      <c r="R383" s="230"/>
      <c r="S383" s="230"/>
      <c r="T383" s="230"/>
      <c r="U383" s="230"/>
      <c r="V383" s="230"/>
      <c r="W383" s="230"/>
      <c r="X383" s="230"/>
      <c r="Y383" s="230"/>
      <c r="Z383" s="230"/>
      <c r="AA383" s="230"/>
      <c r="AB383" s="230"/>
      <c r="AC383" s="230"/>
      <c r="AD383" s="230"/>
    </row>
    <row r="384" spans="1:30">
      <c r="A384" s="1052" t="s">
        <v>1257</v>
      </c>
      <c r="B384" s="1052" t="s">
        <v>1257</v>
      </c>
      <c r="C384" s="1053" t="s">
        <v>1283</v>
      </c>
      <c r="D384" s="1053">
        <v>0.02</v>
      </c>
      <c r="E384" s="1053">
        <v>0.4</v>
      </c>
      <c r="F384" s="1054" t="s">
        <v>1283</v>
      </c>
      <c r="G384" s="1054" t="s">
        <v>1283</v>
      </c>
      <c r="H384" s="1055" t="s">
        <v>1283</v>
      </c>
      <c r="I384" s="1097"/>
      <c r="J384" s="1097"/>
      <c r="K384" s="230"/>
      <c r="L384" s="230"/>
      <c r="M384" s="230"/>
      <c r="N384" s="230"/>
      <c r="O384" s="230"/>
      <c r="P384" s="230"/>
      <c r="Q384" s="230"/>
      <c r="R384" s="230"/>
      <c r="S384" s="230"/>
      <c r="T384" s="230"/>
      <c r="U384" s="230"/>
      <c r="V384" s="230"/>
      <c r="W384" s="230"/>
      <c r="X384" s="230"/>
      <c r="Y384" s="230"/>
      <c r="Z384" s="230"/>
      <c r="AA384" s="230"/>
      <c r="AB384" s="230"/>
      <c r="AC384" s="230"/>
      <c r="AD384" s="230"/>
    </row>
    <row r="385" spans="1:30">
      <c r="A385" s="1052" t="s">
        <v>1258</v>
      </c>
      <c r="B385" s="1052" t="s">
        <v>1258</v>
      </c>
      <c r="C385" s="1053" t="s">
        <v>1283</v>
      </c>
      <c r="D385" s="1053">
        <v>0.02</v>
      </c>
      <c r="E385" s="1053">
        <v>0.89</v>
      </c>
      <c r="F385" s="1054" t="s">
        <v>1283</v>
      </c>
      <c r="G385" s="1054" t="s">
        <v>1283</v>
      </c>
      <c r="H385" s="1055" t="s">
        <v>1283</v>
      </c>
      <c r="I385" s="1097"/>
      <c r="J385" s="1097"/>
      <c r="K385" s="230"/>
      <c r="L385" s="230"/>
      <c r="M385" s="230"/>
      <c r="N385" s="230"/>
      <c r="O385" s="230"/>
      <c r="P385" s="230"/>
      <c r="Q385" s="230"/>
      <c r="R385" s="230"/>
      <c r="S385" s="230"/>
      <c r="T385" s="230"/>
      <c r="U385" s="230"/>
      <c r="V385" s="230"/>
      <c r="W385" s="230"/>
      <c r="X385" s="230"/>
      <c r="Y385" s="230"/>
      <c r="Z385" s="230"/>
      <c r="AA385" s="230"/>
      <c r="AB385" s="230"/>
      <c r="AC385" s="230"/>
      <c r="AD385" s="230"/>
    </row>
    <row r="386" spans="1:30">
      <c r="A386" s="1052" t="s">
        <v>1259</v>
      </c>
      <c r="B386" s="1052" t="s">
        <v>1355</v>
      </c>
      <c r="C386" s="1053" t="s">
        <v>1283</v>
      </c>
      <c r="D386" s="1053">
        <v>0.02</v>
      </c>
      <c r="E386" s="1053">
        <v>0.74</v>
      </c>
      <c r="F386" s="1054" t="s">
        <v>1283</v>
      </c>
      <c r="G386" s="1054" t="s">
        <v>1283</v>
      </c>
      <c r="H386" s="1055" t="s">
        <v>1283</v>
      </c>
      <c r="I386" s="1097"/>
      <c r="J386" s="1097"/>
      <c r="K386" s="230"/>
      <c r="L386" s="230"/>
      <c r="M386" s="230"/>
      <c r="N386" s="230"/>
      <c r="O386" s="230"/>
      <c r="P386" s="230"/>
      <c r="Q386" s="230"/>
      <c r="R386" s="230"/>
      <c r="S386" s="230"/>
      <c r="T386" s="230"/>
      <c r="U386" s="230"/>
      <c r="V386" s="230"/>
      <c r="W386" s="230"/>
      <c r="X386" s="230"/>
      <c r="Y386" s="230"/>
      <c r="Z386" s="230"/>
      <c r="AA386" s="230"/>
      <c r="AB386" s="230"/>
      <c r="AC386" s="230"/>
      <c r="AD386" s="230"/>
    </row>
    <row r="387" spans="1:30">
      <c r="A387" s="1052" t="s">
        <v>1260</v>
      </c>
      <c r="B387" s="1052" t="s">
        <v>1260</v>
      </c>
      <c r="C387" s="1053" t="s">
        <v>1283</v>
      </c>
      <c r="D387" s="1053">
        <v>0.02</v>
      </c>
      <c r="E387" s="1053">
        <v>0.64</v>
      </c>
      <c r="F387" s="1054" t="s">
        <v>1283</v>
      </c>
      <c r="G387" s="1054" t="s">
        <v>1283</v>
      </c>
      <c r="H387" s="1055" t="s">
        <v>1283</v>
      </c>
      <c r="I387" s="1097"/>
      <c r="J387" s="1097"/>
      <c r="K387" s="230"/>
      <c r="L387" s="230"/>
      <c r="M387" s="230"/>
      <c r="N387" s="230"/>
      <c r="O387" s="230"/>
      <c r="P387" s="230"/>
      <c r="Q387" s="230"/>
      <c r="R387" s="230"/>
      <c r="S387" s="230"/>
      <c r="T387" s="230"/>
      <c r="U387" s="230"/>
      <c r="V387" s="230"/>
      <c r="W387" s="230"/>
      <c r="X387" s="230"/>
      <c r="Y387" s="230"/>
      <c r="Z387" s="230"/>
      <c r="AA387" s="230"/>
      <c r="AB387" s="230"/>
      <c r="AC387" s="230"/>
      <c r="AD387" s="230"/>
    </row>
    <row r="388" spans="1:30">
      <c r="A388" s="1052" t="s">
        <v>1261</v>
      </c>
      <c r="B388" s="1052" t="s">
        <v>1261</v>
      </c>
      <c r="C388" s="1053" t="s">
        <v>1283</v>
      </c>
      <c r="D388" s="1053">
        <v>0.02</v>
      </c>
      <c r="E388" s="1053">
        <v>2.23</v>
      </c>
      <c r="F388" s="1054" t="s">
        <v>1283</v>
      </c>
      <c r="G388" s="1054" t="s">
        <v>1283</v>
      </c>
      <c r="H388" s="1055" t="s">
        <v>1283</v>
      </c>
      <c r="I388" s="1097"/>
      <c r="J388" s="1097"/>
      <c r="K388" s="230"/>
      <c r="L388" s="230"/>
      <c r="M388" s="230"/>
      <c r="N388" s="230"/>
      <c r="O388" s="230"/>
      <c r="P388" s="230"/>
      <c r="Q388" s="230"/>
      <c r="R388" s="230"/>
      <c r="S388" s="230"/>
      <c r="T388" s="230"/>
      <c r="U388" s="230"/>
      <c r="V388" s="230"/>
      <c r="W388" s="230"/>
      <c r="X388" s="230"/>
      <c r="Y388" s="230"/>
      <c r="Z388" s="230"/>
      <c r="AA388" s="230"/>
      <c r="AB388" s="230"/>
      <c r="AC388" s="230"/>
      <c r="AD388" s="230"/>
    </row>
    <row r="389" spans="1:30">
      <c r="A389" s="1052" t="s">
        <v>1262</v>
      </c>
      <c r="B389" s="1052" t="s">
        <v>1359</v>
      </c>
      <c r="C389" s="1053" t="s">
        <v>1283</v>
      </c>
      <c r="D389" s="1053">
        <v>0.02</v>
      </c>
      <c r="E389" s="1053">
        <v>1.92</v>
      </c>
      <c r="F389" s="1054" t="s">
        <v>1283</v>
      </c>
      <c r="G389" s="1054" t="s">
        <v>1283</v>
      </c>
      <c r="H389" s="1055" t="s">
        <v>1283</v>
      </c>
      <c r="I389" s="1097"/>
      <c r="J389" s="1097"/>
      <c r="K389" s="230"/>
      <c r="L389" s="230"/>
      <c r="M389" s="230"/>
      <c r="N389" s="230"/>
      <c r="O389" s="230"/>
      <c r="P389" s="230"/>
      <c r="Q389" s="230"/>
      <c r="R389" s="230"/>
      <c r="S389" s="230"/>
      <c r="T389" s="230"/>
      <c r="U389" s="230"/>
      <c r="V389" s="230"/>
      <c r="W389" s="230"/>
      <c r="X389" s="230"/>
      <c r="Y389" s="230"/>
      <c r="Z389" s="230"/>
      <c r="AA389" s="230"/>
      <c r="AB389" s="230"/>
      <c r="AC389" s="230"/>
      <c r="AD389" s="230"/>
    </row>
    <row r="390" spans="1:30">
      <c r="A390" s="1052" t="s">
        <v>1263</v>
      </c>
      <c r="B390" s="1052" t="s">
        <v>1263</v>
      </c>
      <c r="C390" s="1053" t="s">
        <v>1283</v>
      </c>
      <c r="D390" s="1053">
        <v>0.02</v>
      </c>
      <c r="E390" s="1053">
        <v>0.87</v>
      </c>
      <c r="F390" s="1054" t="s">
        <v>1283</v>
      </c>
      <c r="G390" s="1054" t="s">
        <v>1283</v>
      </c>
      <c r="H390" s="1055" t="s">
        <v>1283</v>
      </c>
      <c r="I390" s="1097"/>
      <c r="J390" s="1097"/>
      <c r="K390" s="230"/>
      <c r="L390" s="230"/>
      <c r="M390" s="230"/>
      <c r="N390" s="230"/>
      <c r="O390" s="230"/>
      <c r="P390" s="230"/>
      <c r="Q390" s="230"/>
      <c r="R390" s="230"/>
      <c r="S390" s="230"/>
      <c r="T390" s="230"/>
      <c r="U390" s="230"/>
      <c r="V390" s="230"/>
      <c r="W390" s="230"/>
      <c r="X390" s="230"/>
      <c r="Y390" s="230"/>
      <c r="Z390" s="230"/>
      <c r="AA390" s="230"/>
      <c r="AB390" s="230"/>
      <c r="AC390" s="230"/>
      <c r="AD390" s="230"/>
    </row>
    <row r="391" spans="1:30">
      <c r="A391" s="1052" t="s">
        <v>1264</v>
      </c>
      <c r="B391" s="1052" t="s">
        <v>1264</v>
      </c>
      <c r="C391" s="1053" t="s">
        <v>1283</v>
      </c>
      <c r="D391" s="1053">
        <v>0.02</v>
      </c>
      <c r="E391" s="1053" t="s">
        <v>1283</v>
      </c>
      <c r="F391" s="1054" t="s">
        <v>1283</v>
      </c>
      <c r="G391" s="1054" t="s">
        <v>1283</v>
      </c>
      <c r="H391" s="1055" t="s">
        <v>1283</v>
      </c>
      <c r="I391" s="1097"/>
      <c r="J391" s="1097"/>
      <c r="K391" s="230"/>
      <c r="L391" s="230"/>
      <c r="M391" s="230"/>
      <c r="N391" s="230"/>
      <c r="O391" s="230"/>
      <c r="P391" s="230"/>
      <c r="Q391" s="230"/>
      <c r="R391" s="230"/>
      <c r="S391" s="230"/>
      <c r="T391" s="230"/>
      <c r="U391" s="230"/>
      <c r="V391" s="230"/>
      <c r="W391" s="230"/>
      <c r="X391" s="230"/>
      <c r="Y391" s="230"/>
      <c r="Z391" s="230"/>
      <c r="AA391" s="230"/>
      <c r="AB391" s="230"/>
      <c r="AC391" s="230"/>
      <c r="AD391" s="230"/>
    </row>
    <row r="392" spans="1:30">
      <c r="A392" s="1052" t="s">
        <v>1265</v>
      </c>
      <c r="B392" s="1052" t="s">
        <v>1265</v>
      </c>
      <c r="C392" s="1053">
        <v>0.01</v>
      </c>
      <c r="D392" s="1053">
        <v>0.02</v>
      </c>
      <c r="E392" s="1053" t="s">
        <v>1283</v>
      </c>
      <c r="F392" s="1054" t="s">
        <v>1283</v>
      </c>
      <c r="G392" s="1054" t="s">
        <v>1283</v>
      </c>
      <c r="H392" s="1055" t="s">
        <v>1283</v>
      </c>
      <c r="I392" s="1097"/>
      <c r="J392" s="1097"/>
      <c r="K392" s="230"/>
      <c r="L392" s="230"/>
      <c r="M392" s="230"/>
      <c r="N392" s="230"/>
      <c r="O392" s="230"/>
      <c r="P392" s="230"/>
      <c r="Q392" s="230"/>
      <c r="R392" s="230"/>
      <c r="S392" s="230"/>
      <c r="T392" s="230"/>
      <c r="U392" s="230"/>
      <c r="V392" s="230"/>
      <c r="W392" s="230"/>
      <c r="X392" s="230"/>
      <c r="Y392" s="230"/>
      <c r="Z392" s="230"/>
      <c r="AA392" s="230"/>
      <c r="AB392" s="230"/>
      <c r="AC392" s="230"/>
      <c r="AD392" s="230"/>
    </row>
    <row r="393" spans="1:30">
      <c r="A393" s="1052" t="s">
        <v>1266</v>
      </c>
      <c r="B393" s="1052" t="s">
        <v>1266</v>
      </c>
      <c r="C393" s="1053">
        <v>0.01</v>
      </c>
      <c r="D393" s="1053">
        <v>0.02</v>
      </c>
      <c r="E393" s="1053" t="s">
        <v>1283</v>
      </c>
      <c r="F393" s="1054" t="s">
        <v>1283</v>
      </c>
      <c r="G393" s="1054" t="s">
        <v>1283</v>
      </c>
      <c r="H393" s="1055" t="s">
        <v>1283</v>
      </c>
      <c r="I393" s="1097"/>
      <c r="J393" s="1097"/>
      <c r="K393" s="230"/>
      <c r="L393" s="230"/>
      <c r="M393" s="230"/>
      <c r="N393" s="230"/>
      <c r="O393" s="230"/>
      <c r="P393" s="230"/>
      <c r="Q393" s="230"/>
      <c r="R393" s="230"/>
      <c r="S393" s="230"/>
      <c r="T393" s="230"/>
      <c r="U393" s="230"/>
      <c r="V393" s="230"/>
      <c r="W393" s="230"/>
      <c r="X393" s="230"/>
      <c r="Y393" s="230"/>
      <c r="Z393" s="230"/>
      <c r="AA393" s="230"/>
      <c r="AB393" s="230"/>
      <c r="AC393" s="230"/>
      <c r="AD393" s="230"/>
    </row>
    <row r="394" spans="1:30">
      <c r="A394" s="1052" t="s">
        <v>1267</v>
      </c>
      <c r="B394" s="1052" t="s">
        <v>1267</v>
      </c>
      <c r="C394" s="1053">
        <v>0.1</v>
      </c>
      <c r="D394" s="1053">
        <v>0.02</v>
      </c>
      <c r="E394" s="1053">
        <v>2.21</v>
      </c>
      <c r="F394" s="1054" t="s">
        <v>1283</v>
      </c>
      <c r="G394" s="1054" t="s">
        <v>1283</v>
      </c>
      <c r="H394" s="1055" t="s">
        <v>1283</v>
      </c>
      <c r="I394" s="1097"/>
      <c r="J394" s="1097"/>
      <c r="K394" s="230"/>
      <c r="L394" s="230"/>
      <c r="M394" s="230"/>
      <c r="N394" s="230"/>
      <c r="O394" s="230"/>
      <c r="P394" s="230"/>
      <c r="Q394" s="230"/>
      <c r="R394" s="230"/>
      <c r="S394" s="230"/>
      <c r="T394" s="230"/>
      <c r="U394" s="230"/>
      <c r="V394" s="230"/>
      <c r="W394" s="230"/>
      <c r="X394" s="230"/>
      <c r="Y394" s="230"/>
      <c r="Z394" s="230"/>
      <c r="AA394" s="230"/>
      <c r="AB394" s="230"/>
      <c r="AC394" s="230"/>
      <c r="AD394" s="230"/>
    </row>
    <row r="395" spans="1:30">
      <c r="A395" s="1052" t="s">
        <v>1268</v>
      </c>
      <c r="B395" s="1052" t="s">
        <v>1268</v>
      </c>
      <c r="C395" s="1058">
        <v>4.0000000000000001E-3</v>
      </c>
      <c r="D395" s="1053">
        <v>0.02</v>
      </c>
      <c r="E395" s="1053" t="s">
        <v>1283</v>
      </c>
      <c r="F395" s="1054" t="s">
        <v>1283</v>
      </c>
      <c r="G395" s="1054" t="s">
        <v>1283</v>
      </c>
      <c r="H395" s="1055" t="s">
        <v>1283</v>
      </c>
      <c r="I395" s="1097"/>
      <c r="J395" s="1097"/>
      <c r="K395" s="230"/>
      <c r="L395" s="230"/>
      <c r="M395" s="230"/>
      <c r="N395" s="230"/>
      <c r="O395" s="230"/>
      <c r="P395" s="230"/>
      <c r="Q395" s="230"/>
      <c r="R395" s="230"/>
      <c r="S395" s="230"/>
      <c r="T395" s="230"/>
      <c r="U395" s="230"/>
      <c r="V395" s="230"/>
      <c r="W395" s="230"/>
      <c r="X395" s="230"/>
      <c r="Y395" s="230"/>
      <c r="Z395" s="230"/>
      <c r="AA395" s="230"/>
      <c r="AB395" s="230"/>
      <c r="AC395" s="230"/>
      <c r="AD395" s="230"/>
    </row>
    <row r="396" spans="1:30">
      <c r="A396" s="1052" t="s">
        <v>1269</v>
      </c>
      <c r="B396" s="1052" t="s">
        <v>1269</v>
      </c>
      <c r="C396" s="1053">
        <v>0.03</v>
      </c>
      <c r="D396" s="1053">
        <v>0.02</v>
      </c>
      <c r="E396" s="1053">
        <v>0.7</v>
      </c>
      <c r="F396" s="1054" t="s">
        <v>1283</v>
      </c>
      <c r="G396" s="1054" t="s">
        <v>1283</v>
      </c>
      <c r="H396" s="1055" t="s">
        <v>1283</v>
      </c>
      <c r="I396" s="1097"/>
      <c r="J396" s="1097"/>
      <c r="K396" s="230"/>
      <c r="L396" s="230"/>
      <c r="M396" s="230"/>
      <c r="N396" s="230"/>
      <c r="O396" s="230"/>
      <c r="P396" s="230"/>
      <c r="Q396" s="230"/>
      <c r="R396" s="230"/>
      <c r="S396" s="230"/>
      <c r="T396" s="230"/>
      <c r="U396" s="230"/>
      <c r="V396" s="230"/>
      <c r="W396" s="230"/>
      <c r="X396" s="230"/>
      <c r="Y396" s="230"/>
      <c r="Z396" s="230"/>
      <c r="AA396" s="230"/>
      <c r="AB396" s="230"/>
      <c r="AC396" s="230"/>
      <c r="AD396" s="230"/>
    </row>
    <row r="397" spans="1:30">
      <c r="A397" s="1052" t="s">
        <v>1270</v>
      </c>
      <c r="B397" s="1052" t="s">
        <v>1270</v>
      </c>
      <c r="C397" s="1053" t="s">
        <v>1283</v>
      </c>
      <c r="D397" s="1053">
        <v>0.02</v>
      </c>
      <c r="E397" s="1053" t="s">
        <v>1283</v>
      </c>
      <c r="F397" s="1054" t="s">
        <v>1283</v>
      </c>
      <c r="G397" s="1054" t="s">
        <v>1283</v>
      </c>
      <c r="H397" s="1055" t="s">
        <v>1283</v>
      </c>
      <c r="I397" s="1097"/>
      <c r="J397" s="1097"/>
      <c r="K397" s="230"/>
      <c r="L397" s="230"/>
      <c r="M397" s="230"/>
      <c r="N397" s="230"/>
      <c r="O397" s="230"/>
      <c r="P397" s="230"/>
      <c r="Q397" s="230"/>
      <c r="R397" s="230"/>
      <c r="S397" s="230"/>
      <c r="T397" s="230"/>
      <c r="U397" s="230"/>
      <c r="V397" s="230"/>
      <c r="W397" s="230"/>
      <c r="X397" s="230"/>
      <c r="Y397" s="230"/>
      <c r="Z397" s="230"/>
      <c r="AA397" s="230"/>
      <c r="AB397" s="230"/>
      <c r="AC397" s="230"/>
      <c r="AD397" s="230"/>
    </row>
    <row r="398" spans="1:30">
      <c r="A398" s="1052" t="s">
        <v>1271</v>
      </c>
      <c r="B398" s="1052" t="s">
        <v>1271</v>
      </c>
      <c r="C398" s="1053">
        <v>0.05</v>
      </c>
      <c r="D398" s="1053">
        <v>0.02</v>
      </c>
      <c r="E398" s="1053" t="s">
        <v>1283</v>
      </c>
      <c r="F398" s="1054" t="s">
        <v>1283</v>
      </c>
      <c r="G398" s="1054" t="s">
        <v>1283</v>
      </c>
      <c r="H398" s="1055" t="s">
        <v>1283</v>
      </c>
      <c r="I398" s="1097"/>
      <c r="J398" s="1097"/>
      <c r="K398" s="230"/>
      <c r="L398" s="230"/>
      <c r="M398" s="230"/>
      <c r="N398" s="230"/>
      <c r="O398" s="230"/>
      <c r="P398" s="230"/>
      <c r="Q398" s="230"/>
      <c r="R398" s="230"/>
      <c r="S398" s="230"/>
      <c r="T398" s="230"/>
      <c r="U398" s="230"/>
      <c r="V398" s="230"/>
      <c r="W398" s="230"/>
      <c r="X398" s="230"/>
      <c r="Y398" s="230"/>
      <c r="Z398" s="230"/>
      <c r="AA398" s="230"/>
      <c r="AB398" s="230"/>
      <c r="AC398" s="230"/>
      <c r="AD398" s="230"/>
    </row>
    <row r="399" spans="1:30">
      <c r="A399" s="1052" t="s">
        <v>1272</v>
      </c>
      <c r="B399" s="1052" t="s">
        <v>1272</v>
      </c>
      <c r="C399" s="1053" t="s">
        <v>1283</v>
      </c>
      <c r="D399" s="1053">
        <v>0.02</v>
      </c>
      <c r="E399" s="1053">
        <v>0.28999999999999998</v>
      </c>
      <c r="F399" s="1054" t="s">
        <v>1283</v>
      </c>
      <c r="G399" s="1054" t="s">
        <v>1283</v>
      </c>
      <c r="H399" s="1055" t="s">
        <v>1283</v>
      </c>
      <c r="I399" s="1097"/>
      <c r="J399" s="1097"/>
      <c r="K399" s="230"/>
      <c r="L399" s="230"/>
      <c r="M399" s="230"/>
      <c r="N399" s="230"/>
      <c r="O399" s="230"/>
      <c r="P399" s="230"/>
      <c r="Q399" s="230"/>
      <c r="R399" s="230"/>
      <c r="S399" s="230"/>
      <c r="T399" s="230"/>
      <c r="U399" s="230"/>
      <c r="V399" s="230"/>
      <c r="W399" s="230"/>
      <c r="X399" s="230"/>
      <c r="Y399" s="230"/>
      <c r="Z399" s="230"/>
      <c r="AA399" s="230"/>
      <c r="AB399" s="230"/>
      <c r="AC399" s="230"/>
      <c r="AD399" s="230"/>
    </row>
    <row r="400" spans="1:30" ht="13.5" thickBot="1">
      <c r="A400" s="1059" t="s">
        <v>1273</v>
      </c>
      <c r="B400" s="1059" t="s">
        <v>1273</v>
      </c>
      <c r="C400" s="1060" t="s">
        <v>1283</v>
      </c>
      <c r="D400" s="1060">
        <v>0.18</v>
      </c>
      <c r="E400" s="1060">
        <v>0.08</v>
      </c>
      <c r="F400" s="1061" t="s">
        <v>1283</v>
      </c>
      <c r="G400" s="1061" t="s">
        <v>1283</v>
      </c>
      <c r="H400" s="1062" t="s">
        <v>1283</v>
      </c>
      <c r="I400" s="1097"/>
      <c r="J400" s="1097"/>
      <c r="K400" s="230"/>
      <c r="L400" s="230"/>
      <c r="M400" s="230"/>
      <c r="N400" s="230"/>
      <c r="O400" s="230"/>
      <c r="P400" s="230"/>
      <c r="Q400" s="230"/>
      <c r="R400" s="230"/>
      <c r="S400" s="230"/>
      <c r="T400" s="230"/>
      <c r="U400" s="230"/>
      <c r="V400" s="230"/>
      <c r="W400" s="230"/>
      <c r="X400" s="230"/>
      <c r="Y400" s="230"/>
      <c r="Z400" s="230"/>
      <c r="AA400" s="230"/>
      <c r="AB400" s="230"/>
      <c r="AC400" s="230"/>
      <c r="AD400" s="230"/>
    </row>
    <row r="401" spans="1:30" ht="26.45" customHeight="1">
      <c r="A401" s="1338" t="s">
        <v>1284</v>
      </c>
      <c r="B401" s="1338"/>
      <c r="C401" s="1338"/>
      <c r="D401" s="1338"/>
      <c r="E401" s="1338"/>
      <c r="F401" s="1338"/>
      <c r="G401" s="1338"/>
      <c r="H401" s="1338"/>
      <c r="I401" s="1338"/>
      <c r="J401" s="1338"/>
      <c r="K401" s="230"/>
      <c r="L401" s="230"/>
      <c r="M401" s="230"/>
      <c r="N401" s="230"/>
      <c r="O401" s="230"/>
      <c r="P401" s="230"/>
      <c r="Q401" s="230"/>
      <c r="R401" s="230"/>
      <c r="S401" s="230"/>
      <c r="T401" s="230"/>
      <c r="U401" s="230"/>
      <c r="V401" s="230"/>
      <c r="W401" s="230"/>
      <c r="X401" s="230"/>
      <c r="Y401" s="230"/>
      <c r="Z401" s="230"/>
      <c r="AA401" s="230"/>
      <c r="AB401" s="230"/>
      <c r="AC401" s="230"/>
      <c r="AD401" s="230"/>
    </row>
    <row r="402" spans="1:30" ht="28.5" customHeight="1">
      <c r="A402" s="1339" t="s">
        <v>1285</v>
      </c>
      <c r="B402" s="1339"/>
      <c r="C402" s="1339"/>
      <c r="D402" s="1339"/>
      <c r="E402" s="1339"/>
      <c r="F402" s="1339"/>
      <c r="G402" s="1339"/>
      <c r="H402" s="1339"/>
      <c r="I402" s="1339"/>
      <c r="J402" s="1339"/>
      <c r="K402" s="230"/>
      <c r="L402" s="230"/>
      <c r="M402" s="230"/>
      <c r="N402" s="230"/>
      <c r="O402" s="230"/>
      <c r="P402" s="230"/>
      <c r="Q402" s="230"/>
      <c r="R402" s="230"/>
      <c r="S402" s="230"/>
      <c r="T402" s="230"/>
      <c r="U402" s="230"/>
      <c r="V402" s="230"/>
      <c r="W402" s="230"/>
      <c r="X402" s="230"/>
      <c r="Y402" s="230"/>
      <c r="Z402" s="230"/>
      <c r="AA402" s="230"/>
      <c r="AB402" s="230"/>
      <c r="AC402" s="230"/>
      <c r="AD402" s="230"/>
    </row>
    <row r="403" spans="1:30">
      <c r="B403" s="230"/>
      <c r="C403" s="230"/>
      <c r="D403" s="230"/>
      <c r="E403" s="230"/>
      <c r="F403" s="230"/>
      <c r="G403" s="230"/>
      <c r="H403" s="230"/>
      <c r="I403" s="230"/>
      <c r="J403" s="230"/>
      <c r="K403" s="230"/>
      <c r="L403" s="230"/>
      <c r="M403" s="230"/>
      <c r="N403" s="230"/>
      <c r="O403" s="230"/>
      <c r="P403" s="230"/>
      <c r="Q403" s="230"/>
      <c r="R403" s="230"/>
      <c r="S403" s="230"/>
      <c r="T403" s="230"/>
      <c r="U403" s="230"/>
      <c r="V403" s="230"/>
      <c r="W403" s="230"/>
      <c r="X403" s="230"/>
      <c r="Y403" s="230"/>
      <c r="Z403" s="230"/>
      <c r="AA403" s="230"/>
      <c r="AB403" s="230"/>
      <c r="AC403" s="230"/>
      <c r="AD403" s="230"/>
    </row>
    <row r="404" spans="1:30" ht="13.5" thickBot="1">
      <c r="A404" s="376" t="s">
        <v>1287</v>
      </c>
      <c r="B404" s="377"/>
      <c r="C404" s="377"/>
      <c r="D404" s="377"/>
      <c r="E404" s="377"/>
      <c r="F404" s="377"/>
      <c r="G404" s="377"/>
      <c r="H404" s="377"/>
      <c r="I404" s="230"/>
      <c r="J404" s="230"/>
      <c r="K404" s="230"/>
      <c r="L404" s="230"/>
      <c r="M404" s="230"/>
      <c r="N404" s="230"/>
      <c r="O404" s="230"/>
      <c r="P404" s="230"/>
      <c r="Q404" s="230"/>
      <c r="R404" s="230"/>
      <c r="S404" s="230"/>
      <c r="T404" s="230"/>
      <c r="U404" s="230"/>
      <c r="V404" s="230"/>
      <c r="W404" s="230"/>
      <c r="X404" s="230"/>
      <c r="Y404" s="230"/>
      <c r="Z404" s="230"/>
      <c r="AA404" s="230"/>
      <c r="AB404" s="230"/>
      <c r="AC404" s="230"/>
      <c r="AD404" s="230"/>
    </row>
    <row r="405" spans="1:30" ht="13.5" thickBot="1">
      <c r="A405" s="1047" t="s">
        <v>1286</v>
      </c>
      <c r="B405" s="1047" t="s">
        <v>1288</v>
      </c>
      <c r="C405" s="230"/>
      <c r="D405" s="230"/>
      <c r="E405" s="230"/>
      <c r="F405" s="230"/>
      <c r="G405" s="230"/>
      <c r="H405" s="230"/>
      <c r="I405" s="230"/>
      <c r="J405" s="230"/>
      <c r="K405" s="230"/>
      <c r="L405" s="230"/>
      <c r="M405" s="230"/>
      <c r="N405" s="230"/>
      <c r="O405" s="230"/>
      <c r="P405" s="230"/>
      <c r="Q405" s="230"/>
      <c r="R405" s="230"/>
      <c r="S405" s="230"/>
      <c r="T405" s="230"/>
      <c r="U405" s="230"/>
      <c r="V405" s="230"/>
      <c r="W405" s="230"/>
      <c r="X405" s="230"/>
      <c r="Y405" s="230"/>
      <c r="Z405" s="230"/>
      <c r="AA405" s="230"/>
      <c r="AB405" s="230"/>
      <c r="AC405" s="230"/>
      <c r="AD405" s="230"/>
    </row>
    <row r="406" spans="1:30">
      <c r="A406" s="1052" t="s">
        <v>400</v>
      </c>
      <c r="B406" s="1063">
        <f>1/2000</f>
        <v>5.0000000000000001E-4</v>
      </c>
      <c r="C406" s="230"/>
      <c r="D406" s="230"/>
      <c r="E406" s="230"/>
      <c r="F406" s="230"/>
      <c r="G406" s="230"/>
      <c r="H406" s="230"/>
      <c r="I406" s="230"/>
      <c r="J406" s="230"/>
      <c r="K406" s="230"/>
      <c r="L406" s="230"/>
      <c r="M406" s="230"/>
      <c r="N406" s="230"/>
      <c r="O406" s="230"/>
      <c r="P406" s="230"/>
      <c r="Q406" s="230"/>
      <c r="R406" s="230"/>
      <c r="S406" s="230"/>
      <c r="T406" s="230"/>
      <c r="U406" s="230"/>
      <c r="V406" s="230"/>
      <c r="W406" s="230"/>
      <c r="X406" s="230"/>
      <c r="Y406" s="230"/>
      <c r="Z406" s="230"/>
      <c r="AA406" s="230"/>
      <c r="AB406" s="230"/>
      <c r="AC406" s="230"/>
      <c r="AD406" s="230"/>
    </row>
    <row r="407" spans="1:30">
      <c r="A407" s="1052" t="s">
        <v>1289</v>
      </c>
      <c r="B407" s="1063">
        <f>1/907.2</f>
        <v>1.1022927689594356E-3</v>
      </c>
      <c r="C407" s="230"/>
      <c r="D407" s="230"/>
      <c r="E407" s="230"/>
      <c r="F407" s="230"/>
      <c r="G407" s="230"/>
      <c r="H407" s="230"/>
      <c r="I407" s="230"/>
      <c r="J407" s="230"/>
      <c r="K407" s="230"/>
      <c r="L407" s="230"/>
      <c r="M407" s="230"/>
      <c r="N407" s="230"/>
      <c r="O407" s="230"/>
      <c r="P407" s="230"/>
      <c r="Q407" s="230"/>
      <c r="R407" s="230"/>
      <c r="S407" s="230"/>
      <c r="T407" s="230"/>
      <c r="U407" s="230"/>
      <c r="V407" s="230"/>
      <c r="W407" s="230"/>
      <c r="X407" s="230"/>
      <c r="Y407" s="230"/>
      <c r="Z407" s="230"/>
      <c r="AA407" s="230"/>
      <c r="AB407" s="230"/>
      <c r="AC407" s="230"/>
      <c r="AD407" s="230"/>
    </row>
    <row r="408" spans="1:30">
      <c r="A408" s="1052" t="s">
        <v>1290</v>
      </c>
      <c r="B408" s="1064">
        <f>1/907.2/1000</f>
        <v>1.1022927689594355E-6</v>
      </c>
      <c r="C408" s="230"/>
      <c r="D408" s="230"/>
      <c r="E408" s="230"/>
      <c r="F408" s="230"/>
      <c r="G408" s="230"/>
      <c r="H408" s="230"/>
      <c r="I408" s="230"/>
      <c r="J408" s="230"/>
      <c r="K408" s="230"/>
      <c r="L408" s="230"/>
      <c r="M408" s="230"/>
      <c r="N408" s="230"/>
      <c r="O408" s="230"/>
      <c r="P408" s="230"/>
      <c r="Q408" s="230"/>
      <c r="R408" s="230"/>
      <c r="S408" s="230"/>
      <c r="T408" s="230"/>
      <c r="U408" s="230"/>
      <c r="V408" s="230"/>
      <c r="W408" s="230"/>
      <c r="X408" s="230"/>
      <c r="Y408" s="230"/>
      <c r="Z408" s="230"/>
      <c r="AA408" s="230"/>
      <c r="AB408" s="230"/>
      <c r="AC408" s="230"/>
      <c r="AD408" s="230"/>
    </row>
    <row r="409" spans="1:30">
      <c r="A409" s="1052" t="s">
        <v>401</v>
      </c>
      <c r="B409" s="1053">
        <v>1.1020000000000001</v>
      </c>
      <c r="C409" s="230"/>
      <c r="D409" s="230"/>
      <c r="E409" s="230"/>
      <c r="F409" s="230"/>
      <c r="G409" s="230"/>
      <c r="H409" s="230"/>
      <c r="I409" s="230"/>
      <c r="J409" s="230"/>
      <c r="K409" s="230"/>
      <c r="L409" s="230"/>
      <c r="M409" s="230"/>
      <c r="N409" s="230"/>
      <c r="O409" s="230"/>
      <c r="P409" s="230"/>
      <c r="Q409" s="230"/>
      <c r="R409" s="230"/>
      <c r="S409" s="230"/>
      <c r="T409" s="230"/>
      <c r="U409" s="230"/>
      <c r="V409" s="230"/>
      <c r="W409" s="230"/>
      <c r="X409" s="230"/>
      <c r="Y409" s="230"/>
      <c r="Z409" s="230"/>
      <c r="AA409" s="230"/>
      <c r="AB409" s="230"/>
      <c r="AC409" s="230"/>
      <c r="AD409" s="230"/>
    </row>
    <row r="410" spans="1:30">
      <c r="A410" s="1052" t="s">
        <v>295</v>
      </c>
      <c r="B410" s="1053">
        <v>1</v>
      </c>
      <c r="C410" s="230"/>
      <c r="D410" s="230"/>
      <c r="E410" s="230"/>
      <c r="F410" s="230"/>
      <c r="G410" s="230"/>
      <c r="H410" s="230"/>
      <c r="I410" s="230"/>
      <c r="J410" s="230"/>
      <c r="K410" s="230"/>
      <c r="L410" s="230"/>
      <c r="M410" s="230"/>
      <c r="N410" s="230"/>
      <c r="O410" s="230"/>
      <c r="P410" s="230"/>
      <c r="Q410" s="230"/>
      <c r="R410" s="230"/>
      <c r="S410" s="230"/>
      <c r="T410" s="230"/>
      <c r="U410" s="230"/>
      <c r="V410" s="230"/>
      <c r="W410" s="230"/>
      <c r="X410" s="230"/>
      <c r="Y410" s="230"/>
      <c r="Z410" s="230"/>
      <c r="AA410" s="230"/>
      <c r="AB410" s="230"/>
      <c r="AC410" s="230"/>
      <c r="AD410" s="230"/>
    </row>
    <row r="411" spans="1:30">
      <c r="A411" s="230"/>
      <c r="B411" s="230"/>
      <c r="C411" s="230"/>
      <c r="D411" s="230"/>
      <c r="E411" s="230"/>
      <c r="F411" s="230"/>
      <c r="G411" s="230"/>
      <c r="H411" s="230"/>
      <c r="I411" s="230"/>
      <c r="J411" s="230"/>
      <c r="K411" s="230"/>
      <c r="L411" s="230"/>
      <c r="M411" s="230"/>
      <c r="N411" s="230"/>
      <c r="O411" s="230"/>
      <c r="P411" s="230"/>
      <c r="Q411" s="230"/>
      <c r="R411" s="230"/>
      <c r="S411" s="230"/>
      <c r="T411" s="230"/>
      <c r="U411" s="230"/>
      <c r="V411" s="230"/>
      <c r="W411" s="230"/>
      <c r="X411" s="230"/>
      <c r="Y411" s="230"/>
      <c r="Z411" s="230"/>
      <c r="AA411" s="230"/>
      <c r="AB411" s="230"/>
      <c r="AC411" s="230"/>
      <c r="AD411" s="230"/>
    </row>
    <row r="412" spans="1:30">
      <c r="A412" s="230"/>
      <c r="B412" s="230"/>
      <c r="C412" s="230"/>
      <c r="D412" s="230"/>
      <c r="E412" s="230"/>
      <c r="F412" s="230"/>
      <c r="G412" s="230"/>
      <c r="H412" s="230"/>
      <c r="I412" s="230"/>
      <c r="J412" s="230"/>
      <c r="K412" s="230"/>
      <c r="L412" s="230"/>
      <c r="M412" s="230"/>
      <c r="N412" s="230"/>
      <c r="O412" s="230"/>
      <c r="P412" s="230"/>
      <c r="Q412" s="230"/>
      <c r="R412" s="230"/>
      <c r="S412" s="230"/>
      <c r="T412" s="230"/>
      <c r="U412" s="230"/>
      <c r="V412" s="230"/>
      <c r="W412" s="230"/>
      <c r="X412" s="230"/>
      <c r="Y412" s="230"/>
      <c r="Z412" s="230"/>
      <c r="AA412" s="230"/>
      <c r="AB412" s="230"/>
      <c r="AC412" s="230"/>
      <c r="AD412" s="230"/>
    </row>
    <row r="413" spans="1:30">
      <c r="A413" s="230"/>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row>
    <row r="414" spans="1:30">
      <c r="A414" s="230"/>
      <c r="B414" s="230"/>
      <c r="C414" s="230"/>
      <c r="D414" s="230"/>
      <c r="E414" s="230"/>
      <c r="F414" s="230"/>
      <c r="G414" s="230"/>
      <c r="H414" s="230"/>
      <c r="I414" s="230"/>
      <c r="J414" s="230"/>
      <c r="K414" s="230"/>
      <c r="L414" s="230"/>
      <c r="M414" s="230"/>
      <c r="N414" s="230"/>
      <c r="O414" s="230"/>
      <c r="P414" s="230"/>
      <c r="Q414" s="230"/>
      <c r="R414" s="230"/>
      <c r="S414" s="230"/>
      <c r="T414" s="230"/>
      <c r="U414" s="230"/>
      <c r="V414" s="230"/>
      <c r="W414" s="230"/>
      <c r="X414" s="230"/>
      <c r="Y414" s="230"/>
      <c r="Z414" s="230"/>
      <c r="AA414" s="230"/>
      <c r="AB414" s="230"/>
      <c r="AC414" s="230"/>
      <c r="AD414" s="230"/>
    </row>
    <row r="415" spans="1:30">
      <c r="A415" s="230"/>
      <c r="B415" s="230"/>
      <c r="C415" s="230"/>
      <c r="D415" s="230"/>
      <c r="E415" s="230"/>
      <c r="F415" s="230"/>
      <c r="G415" s="230"/>
      <c r="H415" s="230"/>
      <c r="I415" s="230"/>
      <c r="J415" s="230"/>
      <c r="K415" s="230"/>
      <c r="L415" s="230"/>
      <c r="M415" s="230"/>
      <c r="N415" s="230"/>
      <c r="O415" s="230"/>
      <c r="P415" s="230"/>
      <c r="Q415" s="230"/>
      <c r="R415" s="230"/>
      <c r="S415" s="230"/>
      <c r="T415" s="230"/>
      <c r="U415" s="230"/>
      <c r="V415" s="230"/>
      <c r="W415" s="230"/>
      <c r="X415" s="230"/>
      <c r="Y415" s="230"/>
      <c r="Z415" s="230"/>
      <c r="AA415" s="230"/>
      <c r="AB415" s="230"/>
      <c r="AC415" s="230"/>
      <c r="AD415" s="230"/>
    </row>
    <row r="416" spans="1:30">
      <c r="A416" s="230"/>
      <c r="B416" s="230"/>
      <c r="C416" s="230"/>
      <c r="D416" s="230"/>
      <c r="E416" s="230"/>
      <c r="F416" s="230"/>
      <c r="G416" s="230"/>
      <c r="H416" s="230"/>
      <c r="I416" s="230"/>
      <c r="J416" s="230"/>
      <c r="K416" s="230"/>
      <c r="L416" s="230"/>
      <c r="M416" s="230"/>
      <c r="N416" s="230"/>
      <c r="O416" s="230"/>
      <c r="P416" s="230"/>
      <c r="Q416" s="230"/>
      <c r="R416" s="230"/>
      <c r="S416" s="230"/>
      <c r="T416" s="230"/>
      <c r="U416" s="230"/>
      <c r="V416" s="230"/>
      <c r="W416" s="230"/>
      <c r="X416" s="230"/>
      <c r="Y416" s="230"/>
      <c r="Z416" s="230"/>
      <c r="AA416" s="230"/>
      <c r="AB416" s="230"/>
      <c r="AC416" s="230"/>
      <c r="AD416" s="230"/>
    </row>
    <row r="417" spans="1:30">
      <c r="A417" s="230"/>
      <c r="B417" s="230"/>
      <c r="C417" s="230"/>
      <c r="D417" s="230"/>
      <c r="E417" s="230"/>
      <c r="F417" s="230"/>
      <c r="G417" s="230"/>
      <c r="H417" s="230"/>
      <c r="I417" s="230"/>
      <c r="J417" s="230"/>
      <c r="K417" s="230"/>
      <c r="L417" s="230"/>
      <c r="M417" s="230"/>
      <c r="N417" s="230"/>
      <c r="O417" s="230"/>
      <c r="P417" s="230"/>
      <c r="Q417" s="230"/>
      <c r="R417" s="230"/>
      <c r="S417" s="230"/>
      <c r="T417" s="230"/>
      <c r="U417" s="230"/>
      <c r="V417" s="230"/>
      <c r="W417" s="230"/>
      <c r="X417" s="230"/>
      <c r="Y417" s="230"/>
      <c r="Z417" s="230"/>
      <c r="AA417" s="230"/>
      <c r="AB417" s="230"/>
      <c r="AC417" s="230"/>
      <c r="AD417" s="230"/>
    </row>
    <row r="418" spans="1:30">
      <c r="A418" s="230"/>
      <c r="B418" s="230"/>
      <c r="C418" s="230"/>
      <c r="D418" s="230"/>
      <c r="E418" s="230"/>
      <c r="F418" s="230"/>
      <c r="G418" s="230"/>
      <c r="H418" s="230"/>
      <c r="I418" s="230"/>
      <c r="J418" s="230"/>
      <c r="K418" s="230"/>
      <c r="L418" s="230"/>
      <c r="M418" s="230"/>
      <c r="N418" s="230"/>
      <c r="O418" s="230"/>
      <c r="P418" s="230"/>
      <c r="Q418" s="230"/>
      <c r="R418" s="230"/>
      <c r="S418" s="230"/>
      <c r="T418" s="230"/>
      <c r="U418" s="230"/>
      <c r="V418" s="230"/>
      <c r="W418" s="230"/>
      <c r="X418" s="230"/>
      <c r="Y418" s="230"/>
      <c r="Z418" s="230"/>
      <c r="AA418" s="230"/>
      <c r="AB418" s="230"/>
      <c r="AC418" s="230"/>
      <c r="AD418" s="230"/>
    </row>
    <row r="419" spans="1:30">
      <c r="A419" s="230"/>
      <c r="B419" s="230"/>
      <c r="C419" s="230"/>
      <c r="D419" s="230"/>
      <c r="E419" s="230"/>
      <c r="F419" s="230"/>
      <c r="G419" s="230"/>
      <c r="H419" s="230"/>
      <c r="I419" s="230"/>
      <c r="J419" s="230"/>
      <c r="K419" s="230"/>
      <c r="L419" s="230"/>
      <c r="M419" s="230"/>
      <c r="N419" s="230"/>
      <c r="O419" s="230"/>
      <c r="P419" s="230"/>
      <c r="Q419" s="230"/>
      <c r="R419" s="230"/>
      <c r="S419" s="230"/>
      <c r="T419" s="230"/>
      <c r="U419" s="230"/>
      <c r="V419" s="230"/>
      <c r="W419" s="230"/>
      <c r="X419" s="230"/>
      <c r="Y419" s="230"/>
      <c r="Z419" s="230"/>
      <c r="AA419" s="230"/>
      <c r="AB419" s="230"/>
      <c r="AC419" s="230"/>
      <c r="AD419" s="230"/>
    </row>
    <row r="420" spans="1:30">
      <c r="A420" s="230"/>
      <c r="B420" s="230"/>
      <c r="C420" s="230"/>
      <c r="D420" s="230"/>
      <c r="E420" s="230"/>
      <c r="F420" s="230"/>
      <c r="G420" s="230"/>
      <c r="H420" s="230"/>
      <c r="I420" s="230"/>
      <c r="J420" s="230"/>
      <c r="K420" s="230"/>
      <c r="L420" s="230"/>
      <c r="M420" s="230"/>
      <c r="N420" s="230"/>
      <c r="O420" s="230"/>
      <c r="P420" s="230"/>
      <c r="Q420" s="230"/>
      <c r="R420" s="230"/>
      <c r="S420" s="230"/>
      <c r="T420" s="230"/>
      <c r="U420" s="230"/>
      <c r="V420" s="230"/>
      <c r="W420" s="230"/>
      <c r="X420" s="230"/>
      <c r="Y420" s="230"/>
      <c r="Z420" s="230"/>
      <c r="AA420" s="230"/>
      <c r="AB420" s="230"/>
      <c r="AC420" s="230"/>
      <c r="AD420" s="230"/>
    </row>
    <row r="421" spans="1:30">
      <c r="A421" s="230"/>
      <c r="B421" s="230"/>
      <c r="C421" s="230"/>
      <c r="D421" s="230"/>
      <c r="E421" s="230"/>
      <c r="F421" s="230"/>
      <c r="G421" s="230"/>
      <c r="H421" s="230"/>
      <c r="I421" s="230"/>
      <c r="J421" s="230"/>
      <c r="K421" s="230"/>
      <c r="L421" s="230"/>
      <c r="M421" s="230"/>
      <c r="N421" s="230"/>
      <c r="O421" s="230"/>
      <c r="P421" s="230"/>
      <c r="Q421" s="230"/>
      <c r="R421" s="230"/>
      <c r="S421" s="230"/>
      <c r="T421" s="230"/>
      <c r="U421" s="230"/>
      <c r="V421" s="230"/>
      <c r="W421" s="230"/>
      <c r="X421" s="230"/>
      <c r="Y421" s="230"/>
      <c r="Z421" s="230"/>
      <c r="AA421" s="230"/>
      <c r="AB421" s="230"/>
      <c r="AC421" s="230"/>
      <c r="AD421" s="230"/>
    </row>
    <row r="422" spans="1:30">
      <c r="A422" s="230"/>
      <c r="B422" s="230"/>
      <c r="C422" s="230"/>
      <c r="D422" s="230"/>
      <c r="E422" s="230"/>
      <c r="F422" s="230"/>
      <c r="G422" s="230"/>
      <c r="H422" s="230"/>
      <c r="I422" s="230"/>
      <c r="J422" s="230"/>
      <c r="K422" s="230"/>
      <c r="L422" s="230"/>
      <c r="M422" s="230"/>
      <c r="N422" s="230"/>
      <c r="O422" s="230"/>
      <c r="P422" s="230"/>
      <c r="Q422" s="230"/>
      <c r="R422" s="230"/>
      <c r="S422" s="230"/>
      <c r="T422" s="230"/>
      <c r="U422" s="230"/>
      <c r="V422" s="230"/>
      <c r="W422" s="230"/>
      <c r="X422" s="230"/>
      <c r="Y422" s="230"/>
      <c r="Z422" s="230"/>
      <c r="AA422" s="230"/>
      <c r="AB422" s="230"/>
      <c r="AC422" s="230"/>
      <c r="AD422" s="230"/>
    </row>
    <row r="423" spans="1:30">
      <c r="A423" s="230"/>
      <c r="B423" s="230"/>
      <c r="C423" s="230"/>
      <c r="D423" s="230"/>
      <c r="E423" s="230"/>
      <c r="F423" s="230"/>
      <c r="G423" s="230"/>
      <c r="H423" s="230"/>
      <c r="I423" s="230"/>
      <c r="J423" s="230"/>
      <c r="K423" s="230"/>
      <c r="L423" s="230"/>
      <c r="M423" s="230"/>
      <c r="N423" s="230"/>
      <c r="O423" s="230"/>
      <c r="P423" s="230"/>
      <c r="Q423" s="230"/>
      <c r="R423" s="230"/>
      <c r="S423" s="230"/>
      <c r="T423" s="230"/>
      <c r="U423" s="230"/>
      <c r="V423" s="230"/>
      <c r="W423" s="230"/>
      <c r="X423" s="230"/>
      <c r="Y423" s="230"/>
      <c r="Z423" s="230"/>
      <c r="AA423" s="230"/>
      <c r="AB423" s="230"/>
      <c r="AC423" s="230"/>
      <c r="AD423" s="230"/>
    </row>
    <row r="424" spans="1:30">
      <c r="A424" s="230"/>
      <c r="B424" s="230"/>
      <c r="C424" s="230"/>
      <c r="D424" s="230"/>
      <c r="E424" s="230"/>
      <c r="F424" s="230"/>
      <c r="G424" s="230"/>
      <c r="H424" s="230"/>
      <c r="I424" s="230"/>
      <c r="J424" s="230"/>
      <c r="K424" s="230"/>
      <c r="L424" s="230"/>
      <c r="M424" s="230"/>
      <c r="N424" s="230"/>
      <c r="O424" s="230"/>
      <c r="P424" s="230"/>
      <c r="Q424" s="230"/>
      <c r="R424" s="230"/>
      <c r="S424" s="230"/>
      <c r="T424" s="230"/>
      <c r="U424" s="230"/>
      <c r="V424" s="230"/>
      <c r="W424" s="230"/>
      <c r="X424" s="230"/>
      <c r="Y424" s="230"/>
      <c r="Z424" s="230"/>
      <c r="AA424" s="230"/>
      <c r="AB424" s="230"/>
      <c r="AC424" s="230"/>
      <c r="AD424" s="230"/>
    </row>
    <row r="425" spans="1:30">
      <c r="A425" s="230"/>
      <c r="B425" s="230"/>
      <c r="C425" s="230"/>
      <c r="D425" s="230"/>
      <c r="E425" s="230"/>
      <c r="F425" s="230"/>
      <c r="G425" s="230"/>
      <c r="H425" s="230"/>
      <c r="I425" s="230"/>
      <c r="J425" s="230"/>
      <c r="K425" s="230"/>
      <c r="L425" s="230"/>
      <c r="M425" s="230"/>
      <c r="N425" s="230"/>
      <c r="O425" s="230"/>
      <c r="P425" s="230"/>
      <c r="Q425" s="230"/>
      <c r="R425" s="230"/>
      <c r="S425" s="230"/>
      <c r="T425" s="230"/>
      <c r="U425" s="230"/>
      <c r="V425" s="230"/>
      <c r="W425" s="230"/>
      <c r="X425" s="230"/>
      <c r="Y425" s="230"/>
      <c r="Z425" s="230"/>
      <c r="AA425" s="230"/>
      <c r="AB425" s="230"/>
      <c r="AC425" s="230"/>
      <c r="AD425" s="230"/>
    </row>
    <row r="426" spans="1:30">
      <c r="A426" s="230"/>
      <c r="B426" s="230"/>
      <c r="C426" s="230"/>
      <c r="D426" s="230"/>
      <c r="E426" s="230"/>
      <c r="F426" s="230"/>
      <c r="G426" s="230"/>
      <c r="H426" s="230"/>
      <c r="I426" s="230"/>
      <c r="J426" s="230"/>
      <c r="K426" s="230"/>
      <c r="L426" s="230"/>
      <c r="M426" s="230"/>
      <c r="N426" s="230"/>
      <c r="O426" s="230"/>
      <c r="P426" s="230"/>
      <c r="Q426" s="230"/>
      <c r="R426" s="230"/>
      <c r="S426" s="230"/>
      <c r="T426" s="230"/>
      <c r="U426" s="230"/>
      <c r="V426" s="230"/>
      <c r="W426" s="230"/>
      <c r="X426" s="230"/>
      <c r="Y426" s="230"/>
      <c r="Z426" s="230"/>
      <c r="AA426" s="230"/>
      <c r="AB426" s="230"/>
      <c r="AC426" s="230"/>
      <c r="AD426" s="230"/>
    </row>
    <row r="427" spans="1:30">
      <c r="A427" s="230"/>
      <c r="B427" s="230"/>
      <c r="C427" s="230"/>
      <c r="D427" s="230"/>
      <c r="E427" s="230"/>
      <c r="F427" s="230"/>
      <c r="G427" s="230"/>
      <c r="H427" s="230"/>
      <c r="I427" s="230"/>
      <c r="J427" s="230"/>
      <c r="K427" s="230"/>
      <c r="L427" s="230"/>
      <c r="M427" s="230"/>
      <c r="N427" s="230"/>
      <c r="O427" s="230"/>
      <c r="P427" s="230"/>
      <c r="Q427" s="230"/>
      <c r="R427" s="230"/>
      <c r="S427" s="230"/>
      <c r="T427" s="230"/>
      <c r="U427" s="230"/>
      <c r="V427" s="230"/>
      <c r="W427" s="230"/>
      <c r="X427" s="230"/>
      <c r="Y427" s="230"/>
      <c r="Z427" s="230"/>
      <c r="AA427" s="230"/>
      <c r="AB427" s="230"/>
      <c r="AC427" s="230"/>
      <c r="AD427" s="230"/>
    </row>
    <row r="428" spans="1:30">
      <c r="A428" s="230"/>
      <c r="B428" s="230"/>
      <c r="C428" s="230"/>
      <c r="D428" s="230"/>
      <c r="E428" s="230"/>
      <c r="F428" s="230"/>
      <c r="G428" s="230"/>
      <c r="H428" s="230"/>
      <c r="I428" s="230"/>
      <c r="J428" s="230"/>
      <c r="K428" s="230"/>
      <c r="L428" s="230"/>
      <c r="M428" s="230"/>
      <c r="N428" s="230"/>
      <c r="O428" s="230"/>
      <c r="P428" s="230"/>
      <c r="Q428" s="230"/>
      <c r="R428" s="230"/>
      <c r="S428" s="230"/>
      <c r="T428" s="230"/>
      <c r="U428" s="230"/>
      <c r="V428" s="230"/>
      <c r="W428" s="230"/>
      <c r="X428" s="230"/>
      <c r="Y428" s="230"/>
      <c r="Z428" s="230"/>
      <c r="AA428" s="230"/>
      <c r="AB428" s="230"/>
      <c r="AC428" s="230"/>
      <c r="AD428" s="230"/>
    </row>
    <row r="429" spans="1:30">
      <c r="A429" s="230"/>
      <c r="B429" s="230"/>
      <c r="C429" s="230"/>
      <c r="D429" s="230"/>
      <c r="E429" s="230"/>
      <c r="F429" s="230"/>
      <c r="G429" s="230"/>
      <c r="H429" s="230"/>
      <c r="I429" s="230"/>
      <c r="J429" s="230"/>
      <c r="K429" s="230"/>
      <c r="L429" s="230"/>
      <c r="M429" s="230"/>
      <c r="N429" s="230"/>
      <c r="O429" s="230"/>
      <c r="P429" s="230"/>
      <c r="Q429" s="230"/>
      <c r="R429" s="230"/>
      <c r="S429" s="230"/>
      <c r="T429" s="230"/>
      <c r="U429" s="230"/>
      <c r="V429" s="230"/>
      <c r="W429" s="230"/>
      <c r="X429" s="230"/>
      <c r="Y429" s="230"/>
      <c r="Z429" s="230"/>
      <c r="AA429" s="230"/>
      <c r="AB429" s="230"/>
      <c r="AC429" s="230"/>
      <c r="AD429" s="230"/>
    </row>
    <row r="430" spans="1:30">
      <c r="A430" s="230"/>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row>
    <row r="431" spans="1:30">
      <c r="A431" s="230"/>
      <c r="B431" s="230"/>
      <c r="C431" s="230"/>
      <c r="D431" s="230"/>
      <c r="E431" s="230"/>
      <c r="F431" s="230"/>
      <c r="G431" s="230"/>
      <c r="H431" s="230"/>
      <c r="I431" s="230"/>
      <c r="J431" s="230"/>
      <c r="K431" s="230"/>
      <c r="L431" s="230"/>
      <c r="M431" s="230"/>
      <c r="N431" s="230"/>
      <c r="O431" s="230"/>
      <c r="P431" s="230"/>
      <c r="Q431" s="230"/>
      <c r="R431" s="230"/>
      <c r="S431" s="230"/>
      <c r="T431" s="230"/>
      <c r="U431" s="230"/>
      <c r="V431" s="230"/>
      <c r="W431" s="230"/>
      <c r="X431" s="230"/>
      <c r="Y431" s="230"/>
      <c r="Z431" s="230"/>
      <c r="AA431" s="230"/>
      <c r="AB431" s="230"/>
      <c r="AC431" s="230"/>
      <c r="AD431" s="230"/>
    </row>
    <row r="432" spans="1:30">
      <c r="A432" s="230"/>
      <c r="B432" s="230"/>
      <c r="C432" s="230"/>
      <c r="D432" s="230"/>
      <c r="E432" s="230"/>
      <c r="F432" s="230"/>
      <c r="G432" s="230"/>
      <c r="H432" s="230"/>
      <c r="I432" s="230"/>
      <c r="J432" s="230"/>
      <c r="K432" s="230"/>
      <c r="L432" s="230"/>
      <c r="M432" s="230"/>
      <c r="N432" s="230"/>
      <c r="O432" s="230"/>
      <c r="P432" s="230"/>
      <c r="Q432" s="230"/>
      <c r="R432" s="230"/>
      <c r="S432" s="230"/>
      <c r="T432" s="230"/>
      <c r="U432" s="230"/>
      <c r="V432" s="230"/>
      <c r="W432" s="230"/>
      <c r="X432" s="230"/>
      <c r="Y432" s="230"/>
      <c r="Z432" s="230"/>
      <c r="AA432" s="230"/>
      <c r="AB432" s="230"/>
      <c r="AC432" s="230"/>
      <c r="AD432" s="230"/>
    </row>
    <row r="433" spans="1:30">
      <c r="A433" s="230"/>
      <c r="B433" s="230"/>
      <c r="C433" s="230"/>
      <c r="D433" s="230"/>
      <c r="E433" s="230"/>
      <c r="F433" s="230"/>
      <c r="G433" s="230"/>
      <c r="H433" s="230"/>
      <c r="I433" s="230"/>
      <c r="J433" s="230"/>
      <c r="K433" s="230"/>
      <c r="L433" s="230"/>
      <c r="M433" s="230"/>
      <c r="N433" s="230"/>
      <c r="O433" s="230"/>
      <c r="P433" s="230"/>
      <c r="Q433" s="230"/>
      <c r="R433" s="230"/>
      <c r="S433" s="230"/>
      <c r="T433" s="230"/>
      <c r="U433" s="230"/>
      <c r="V433" s="230"/>
      <c r="W433" s="230"/>
      <c r="X433" s="230"/>
      <c r="Y433" s="230"/>
      <c r="Z433" s="230"/>
      <c r="AA433" s="230"/>
      <c r="AB433" s="230"/>
      <c r="AC433" s="230"/>
      <c r="AD433" s="230"/>
    </row>
    <row r="434" spans="1:30">
      <c r="A434" s="230"/>
      <c r="B434" s="230"/>
      <c r="C434" s="230"/>
      <c r="D434" s="230"/>
      <c r="E434" s="230"/>
      <c r="F434" s="230"/>
      <c r="G434" s="230"/>
      <c r="H434" s="230"/>
      <c r="I434" s="230"/>
      <c r="J434" s="230"/>
      <c r="K434" s="230"/>
      <c r="L434" s="230"/>
      <c r="M434" s="230"/>
      <c r="N434" s="230"/>
      <c r="O434" s="230"/>
      <c r="P434" s="230"/>
      <c r="Q434" s="230"/>
      <c r="R434" s="230"/>
      <c r="S434" s="230"/>
      <c r="T434" s="230"/>
      <c r="U434" s="230"/>
      <c r="V434" s="230"/>
      <c r="W434" s="230"/>
      <c r="X434" s="230"/>
      <c r="Y434" s="230"/>
      <c r="Z434" s="230"/>
      <c r="AA434" s="230"/>
      <c r="AB434" s="230"/>
      <c r="AC434" s="230"/>
      <c r="AD434" s="230"/>
    </row>
    <row r="435" spans="1:30">
      <c r="A435" s="230"/>
      <c r="B435" s="230"/>
      <c r="C435" s="230"/>
      <c r="D435" s="230"/>
      <c r="E435" s="230"/>
      <c r="F435" s="230"/>
      <c r="G435" s="230"/>
      <c r="H435" s="230"/>
      <c r="I435" s="230"/>
      <c r="J435" s="230"/>
      <c r="K435" s="230"/>
      <c r="L435" s="230"/>
      <c r="M435" s="230"/>
      <c r="N435" s="230"/>
      <c r="O435" s="230"/>
      <c r="P435" s="230"/>
      <c r="Q435" s="230"/>
      <c r="R435" s="230"/>
      <c r="S435" s="230"/>
      <c r="T435" s="230"/>
      <c r="U435" s="230"/>
      <c r="V435" s="230"/>
      <c r="W435" s="230"/>
      <c r="X435" s="230"/>
      <c r="Y435" s="230"/>
      <c r="Z435" s="230"/>
      <c r="AA435" s="230"/>
      <c r="AB435" s="230"/>
      <c r="AC435" s="230"/>
      <c r="AD435" s="230"/>
    </row>
  </sheetData>
  <sheetProtection sheet="1" objects="1" scenarios="1"/>
  <mergeCells count="180">
    <mergeCell ref="A151:A154"/>
    <mergeCell ref="A155:A160"/>
    <mergeCell ref="C339:H339"/>
    <mergeCell ref="A401:J401"/>
    <mergeCell ref="A402:J402"/>
    <mergeCell ref="A179:A181"/>
    <mergeCell ref="A175:A177"/>
    <mergeCell ref="A173:A174"/>
    <mergeCell ref="A336:E336"/>
    <mergeCell ref="F270:G270"/>
    <mergeCell ref="A270:C270"/>
    <mergeCell ref="A269:C269"/>
    <mergeCell ref="A261:H261"/>
    <mergeCell ref="C239:E239"/>
    <mergeCell ref="C240:E240"/>
    <mergeCell ref="C241:E241"/>
    <mergeCell ref="F269:G269"/>
    <mergeCell ref="C243:E243"/>
    <mergeCell ref="C244:E244"/>
    <mergeCell ref="C223:E223"/>
    <mergeCell ref="A262:H262"/>
    <mergeCell ref="C254:E254"/>
    <mergeCell ref="C249:E249"/>
    <mergeCell ref="E79:H79"/>
    <mergeCell ref="C256:E256"/>
    <mergeCell ref="C257:E257"/>
    <mergeCell ref="C258:E258"/>
    <mergeCell ref="C235:E235"/>
    <mergeCell ref="C224:E224"/>
    <mergeCell ref="C225:E225"/>
    <mergeCell ref="C226:E226"/>
    <mergeCell ref="C227:E227"/>
    <mergeCell ref="C228:E228"/>
    <mergeCell ref="C229:E229"/>
    <mergeCell ref="C245:E245"/>
    <mergeCell ref="C246:E246"/>
    <mergeCell ref="C247:E247"/>
    <mergeCell ref="E81:H81"/>
    <mergeCell ref="E82:H82"/>
    <mergeCell ref="E111:H111"/>
    <mergeCell ref="E112:H112"/>
    <mergeCell ref="E100:H100"/>
    <mergeCell ref="E101:H101"/>
    <mergeCell ref="E113:H113"/>
    <mergeCell ref="C242:E242"/>
    <mergeCell ref="C230:E230"/>
    <mergeCell ref="E122:H122"/>
    <mergeCell ref="E74:H74"/>
    <mergeCell ref="E124:H124"/>
    <mergeCell ref="E55:H55"/>
    <mergeCell ref="E77:H77"/>
    <mergeCell ref="E62:H62"/>
    <mergeCell ref="E63:H63"/>
    <mergeCell ref="E64:H64"/>
    <mergeCell ref="E65:H65"/>
    <mergeCell ref="E66:H66"/>
    <mergeCell ref="E96:H96"/>
    <mergeCell ref="E114:H114"/>
    <mergeCell ref="E115:H115"/>
    <mergeCell ref="E116:H116"/>
    <mergeCell ref="E117:H117"/>
    <mergeCell ref="E118:H118"/>
    <mergeCell ref="E119:H119"/>
    <mergeCell ref="E123:H123"/>
    <mergeCell ref="E92:H92"/>
    <mergeCell ref="E93:H93"/>
    <mergeCell ref="E94:H94"/>
    <mergeCell ref="E95:H95"/>
    <mergeCell ref="E102:H102"/>
    <mergeCell ref="E103:H103"/>
    <mergeCell ref="E80:H80"/>
    <mergeCell ref="A25:H25"/>
    <mergeCell ref="A43:E43"/>
    <mergeCell ref="E58:H58"/>
    <mergeCell ref="E59:H59"/>
    <mergeCell ref="E60:H60"/>
    <mergeCell ref="E67:H67"/>
    <mergeCell ref="E68:H68"/>
    <mergeCell ref="E69:H69"/>
    <mergeCell ref="E70:H70"/>
    <mergeCell ref="A41:I41"/>
    <mergeCell ref="A42:I42"/>
    <mergeCell ref="E45:H45"/>
    <mergeCell ref="E46:H46"/>
    <mergeCell ref="E47:H47"/>
    <mergeCell ref="E57:H57"/>
    <mergeCell ref="E49:H49"/>
    <mergeCell ref="E50:H50"/>
    <mergeCell ref="E51:H51"/>
    <mergeCell ref="E52:H52"/>
    <mergeCell ref="E53:H53"/>
    <mergeCell ref="E54:H54"/>
    <mergeCell ref="E83:H83"/>
    <mergeCell ref="E98:H98"/>
    <mergeCell ref="E48:H48"/>
    <mergeCell ref="E56:H56"/>
    <mergeCell ref="E76:H76"/>
    <mergeCell ref="A271:C271"/>
    <mergeCell ref="A272:C272"/>
    <mergeCell ref="A273:C273"/>
    <mergeCell ref="A274:C274"/>
    <mergeCell ref="A131:A134"/>
    <mergeCell ref="A135:A138"/>
    <mergeCell ref="E109:H109"/>
    <mergeCell ref="E110:H110"/>
    <mergeCell ref="E104:H104"/>
    <mergeCell ref="E105:H105"/>
    <mergeCell ref="E106:H106"/>
    <mergeCell ref="E107:H107"/>
    <mergeCell ref="E108:H108"/>
    <mergeCell ref="E78:H78"/>
    <mergeCell ref="E84:H84"/>
    <mergeCell ref="E85:H85"/>
    <mergeCell ref="E86:H86"/>
    <mergeCell ref="E120:H120"/>
    <mergeCell ref="E121:H121"/>
    <mergeCell ref="E87:H87"/>
    <mergeCell ref="A275:C275"/>
    <mergeCell ref="A276:C276"/>
    <mergeCell ref="C237:E237"/>
    <mergeCell ref="C238:E238"/>
    <mergeCell ref="C231:E231"/>
    <mergeCell ref="E73:H73"/>
    <mergeCell ref="E75:H75"/>
    <mergeCell ref="E61:H61"/>
    <mergeCell ref="E99:H99"/>
    <mergeCell ref="E97:H97"/>
    <mergeCell ref="C236:E236"/>
    <mergeCell ref="A127:E127"/>
    <mergeCell ref="E125:H125"/>
    <mergeCell ref="E126:H126"/>
    <mergeCell ref="A125:A126"/>
    <mergeCell ref="C233:E233"/>
    <mergeCell ref="C234:E234"/>
    <mergeCell ref="E71:H71"/>
    <mergeCell ref="E72:H72"/>
    <mergeCell ref="C232:E232"/>
    <mergeCell ref="E88:H88"/>
    <mergeCell ref="E89:H89"/>
    <mergeCell ref="E90:H90"/>
    <mergeCell ref="E91:H91"/>
    <mergeCell ref="A277:C277"/>
    <mergeCell ref="A278:C278"/>
    <mergeCell ref="A279:C279"/>
    <mergeCell ref="A280:C280"/>
    <mergeCell ref="A281:C281"/>
    <mergeCell ref="A282:C282"/>
    <mergeCell ref="A283:C283"/>
    <mergeCell ref="A284:C284"/>
    <mergeCell ref="C250:E250"/>
    <mergeCell ref="C251:E251"/>
    <mergeCell ref="C252:E252"/>
    <mergeCell ref="C253:E253"/>
    <mergeCell ref="C255:E255"/>
    <mergeCell ref="A220:J220"/>
    <mergeCell ref="C259:E259"/>
    <mergeCell ref="C248:E248"/>
    <mergeCell ref="A161:A166"/>
    <mergeCell ref="B131:B134"/>
    <mergeCell ref="B135:B138"/>
    <mergeCell ref="A139:A140"/>
    <mergeCell ref="B139:B140"/>
    <mergeCell ref="A141:A145"/>
    <mergeCell ref="A146:A150"/>
    <mergeCell ref="A285:C285"/>
    <mergeCell ref="A286:C286"/>
    <mergeCell ref="A287:C287"/>
    <mergeCell ref="A288:C288"/>
    <mergeCell ref="A315:J315"/>
    <mergeCell ref="A327:J327"/>
    <mergeCell ref="A329:J329"/>
    <mergeCell ref="A289:C289"/>
    <mergeCell ref="A290:C290"/>
    <mergeCell ref="A291:C291"/>
    <mergeCell ref="A292:C292"/>
    <mergeCell ref="A293:C293"/>
    <mergeCell ref="A294:C294"/>
    <mergeCell ref="A295:C295"/>
    <mergeCell ref="A296:C296"/>
    <mergeCell ref="A313:J313"/>
  </mergeCells>
  <hyperlinks>
    <hyperlink ref="A6" r:id="rId1" xr:uid="{00000000-0004-0000-1200-000000000000}"/>
  </hyperlinks>
  <pageMargins left="0.7" right="0.7" top="0.75" bottom="0.75" header="0.3" footer="0.3"/>
  <pageSetup scale="61" orientation="portrait" r:id="rId2"/>
  <colBreaks count="1" manualBreakCount="1">
    <brk id="9" max="1048575" man="1"/>
  </colBreaks>
  <drawing r:id="rId3"/>
  <legacyDrawing r:id="rId4"/>
  <controls>
    <mc:AlternateContent xmlns:mc="http://schemas.openxmlformats.org/markup-compatibility/2006">
      <mc:Choice Requires="x14">
        <control shapeId="28673" r:id="rId5" name="CommandButton1">
          <controlPr autoLine="0" r:id="rId6">
            <anchor>
              <from>
                <xdr:col>0</xdr:col>
                <xdr:colOff>723900</xdr:colOff>
                <xdr:row>0</xdr:row>
                <xdr:rowOff>152400</xdr:rowOff>
              </from>
              <to>
                <xdr:col>0</xdr:col>
                <xdr:colOff>1638300</xdr:colOff>
                <xdr:row>1</xdr:row>
                <xdr:rowOff>152400</xdr:rowOff>
              </to>
            </anchor>
          </controlPr>
        </control>
      </mc:Choice>
      <mc:Fallback>
        <control shapeId="28673" r:id="rId5" name="CommandButton1"/>
      </mc:Fallback>
    </mc:AlternateContent>
    <mc:AlternateContent xmlns:mc="http://schemas.openxmlformats.org/markup-compatibility/2006">
      <mc:Choice Requires="x14">
        <control shapeId="28674" r:id="rId7" name="CommandButton2">
          <controlPr autoLine="0" r:id="rId8">
            <anchor>
              <from>
                <xdr:col>0</xdr:col>
                <xdr:colOff>1828800</xdr:colOff>
                <xdr:row>0</xdr:row>
                <xdr:rowOff>133350</xdr:rowOff>
              </from>
              <to>
                <xdr:col>1</xdr:col>
                <xdr:colOff>762000</xdr:colOff>
                <xdr:row>1</xdr:row>
                <xdr:rowOff>133350</xdr:rowOff>
              </to>
            </anchor>
          </controlPr>
        </control>
      </mc:Choice>
      <mc:Fallback>
        <control shapeId="28674" r:id="rId7" name="CommandButton2"/>
      </mc:Fallback>
    </mc:AlternateContent>
  </control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AD207"/>
  <sheetViews>
    <sheetView tabSelected="1" topLeftCell="A25" zoomScaleNormal="100" workbookViewId="0">
      <selection activeCell="G55" sqref="G55"/>
    </sheetView>
  </sheetViews>
  <sheetFormatPr defaultRowHeight="12.75"/>
  <cols>
    <col min="1" max="1" width="17.28515625" customWidth="1"/>
    <col min="5" max="5" width="14.7109375" customWidth="1"/>
    <col min="6" max="6" width="15.7109375" customWidth="1"/>
    <col min="7" max="7" width="10.7109375" customWidth="1"/>
    <col min="8" max="10" width="9.7109375" customWidth="1"/>
    <col min="11" max="11" width="10.7109375"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20.25">
      <c r="A3" s="752" t="s">
        <v>328</v>
      </c>
      <c r="B3" s="753"/>
      <c r="C3" s="753"/>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row>
    <row r="4" spans="1:30" ht="6" customHeight="1">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row>
    <row r="5" spans="1:30" ht="15">
      <c r="A5" s="756" t="s">
        <v>346</v>
      </c>
      <c r="B5" s="757"/>
      <c r="C5" s="757"/>
      <c r="D5" s="757"/>
      <c r="E5" s="757"/>
      <c r="F5" s="757"/>
      <c r="G5" s="757"/>
      <c r="H5" s="757"/>
      <c r="I5" s="757"/>
      <c r="J5" s="230"/>
      <c r="K5" s="230"/>
      <c r="L5" s="230"/>
      <c r="M5" s="230"/>
      <c r="N5" s="230"/>
      <c r="O5" s="230"/>
      <c r="P5" s="230"/>
      <c r="Q5" s="230"/>
      <c r="R5" s="230"/>
      <c r="S5" s="230"/>
      <c r="T5" s="230"/>
      <c r="U5" s="230"/>
      <c r="V5" s="230"/>
      <c r="W5" s="230"/>
      <c r="X5" s="230"/>
      <c r="Y5" s="230"/>
      <c r="Z5" s="230"/>
      <c r="AA5" s="230"/>
      <c r="AB5" s="230"/>
      <c r="AC5" s="230"/>
      <c r="AD5" s="230"/>
    </row>
    <row r="6" spans="1:30" ht="46.5" customHeight="1">
      <c r="A6" s="1147" t="s">
        <v>806</v>
      </c>
      <c r="B6" s="1160"/>
      <c r="C6" s="1160"/>
      <c r="D6" s="1160"/>
      <c r="E6" s="1160"/>
      <c r="F6" s="1160"/>
      <c r="G6" s="1160"/>
      <c r="H6" s="1160"/>
      <c r="I6" s="1160"/>
      <c r="J6" s="230"/>
      <c r="K6" s="230"/>
      <c r="L6" s="230"/>
      <c r="M6" s="230"/>
      <c r="N6" s="230"/>
      <c r="O6" s="230"/>
      <c r="P6" s="230"/>
      <c r="Q6" s="230"/>
      <c r="R6" s="230"/>
      <c r="S6" s="230"/>
      <c r="T6" s="230"/>
      <c r="U6" s="230"/>
      <c r="V6" s="230"/>
      <c r="W6" s="230"/>
      <c r="X6" s="230"/>
      <c r="Y6" s="230"/>
      <c r="Z6" s="230"/>
      <c r="AA6" s="230"/>
      <c r="AB6" s="230"/>
      <c r="AC6" s="230"/>
      <c r="AD6" s="230"/>
    </row>
    <row r="7" spans="1:30" ht="16.5" customHeight="1">
      <c r="A7" s="1179" t="s">
        <v>1170</v>
      </c>
      <c r="B7" s="1179"/>
      <c r="C7" s="1179"/>
      <c r="D7" s="1179"/>
      <c r="E7" s="1179"/>
      <c r="F7" s="1179"/>
      <c r="G7" s="1179"/>
      <c r="H7" s="1179"/>
      <c r="I7" s="1179"/>
      <c r="J7" s="230"/>
      <c r="K7" s="230"/>
      <c r="L7" s="230"/>
      <c r="M7" s="230"/>
      <c r="N7" s="230"/>
      <c r="O7" s="230"/>
      <c r="P7" s="230"/>
      <c r="Q7" s="230"/>
      <c r="R7" s="230"/>
      <c r="S7" s="230"/>
      <c r="T7" s="230"/>
      <c r="U7" s="230"/>
      <c r="V7" s="230"/>
      <c r="W7" s="230"/>
      <c r="X7" s="230"/>
      <c r="Y7" s="230"/>
      <c r="Z7" s="230"/>
      <c r="AA7" s="230"/>
      <c r="AB7" s="230"/>
      <c r="AC7" s="230"/>
      <c r="AD7" s="230"/>
    </row>
    <row r="8" spans="1:30" s="755" customFormat="1" ht="21" customHeight="1">
      <c r="A8" s="1147" t="s">
        <v>807</v>
      </c>
      <c r="B8" s="1147"/>
      <c r="C8" s="1147"/>
      <c r="D8" s="1147"/>
      <c r="E8" s="1147"/>
      <c r="F8" s="1147"/>
      <c r="G8" s="1147"/>
      <c r="H8" s="1147"/>
      <c r="I8" s="1147"/>
      <c r="J8" s="754"/>
      <c r="K8" s="754"/>
      <c r="L8" s="754"/>
      <c r="M8" s="754"/>
      <c r="N8" s="754"/>
      <c r="O8" s="754"/>
      <c r="P8" s="754"/>
      <c r="Q8" s="754"/>
      <c r="R8" s="754"/>
      <c r="S8" s="754"/>
      <c r="T8" s="754"/>
      <c r="U8" s="754"/>
      <c r="V8" s="754"/>
      <c r="W8" s="754"/>
      <c r="X8" s="754"/>
      <c r="Y8" s="754"/>
      <c r="Z8" s="754"/>
      <c r="AA8" s="754"/>
      <c r="AB8" s="754"/>
      <c r="AC8" s="754"/>
      <c r="AD8" s="754"/>
    </row>
    <row r="9" spans="1:30" ht="14.25" customHeight="1">
      <c r="A9" s="1147"/>
      <c r="B9" s="1147"/>
      <c r="C9" s="1147"/>
      <c r="D9" s="1147"/>
      <c r="E9" s="1147"/>
      <c r="F9" s="1147"/>
      <c r="G9" s="1147"/>
      <c r="H9" s="1147"/>
      <c r="I9" s="1147"/>
      <c r="J9" s="230"/>
      <c r="K9" s="230"/>
      <c r="L9" s="230"/>
      <c r="M9" s="230"/>
      <c r="N9" s="230"/>
      <c r="O9" s="230"/>
      <c r="P9" s="230"/>
      <c r="Q9" s="230"/>
      <c r="R9" s="230"/>
      <c r="S9" s="230"/>
      <c r="T9" s="230"/>
      <c r="U9" s="230"/>
      <c r="V9" s="230"/>
      <c r="W9" s="230"/>
      <c r="X9" s="230"/>
      <c r="Y9" s="230"/>
      <c r="Z9" s="230"/>
      <c r="AA9" s="230"/>
      <c r="AB9" s="230"/>
      <c r="AC9" s="230"/>
      <c r="AD9" s="230"/>
    </row>
    <row r="10" spans="1:30" ht="14.25" customHeight="1">
      <c r="A10" s="1177" t="s">
        <v>1386</v>
      </c>
      <c r="B10" s="1177"/>
      <c r="C10" s="1177"/>
      <c r="D10" s="1177"/>
      <c r="E10" s="1177"/>
      <c r="F10" s="1177"/>
      <c r="G10" s="1177"/>
      <c r="H10" s="1177"/>
      <c r="I10" s="1177"/>
      <c r="J10" s="230"/>
      <c r="K10" s="230"/>
      <c r="L10" s="230"/>
      <c r="M10" s="230"/>
      <c r="N10" s="230"/>
      <c r="O10" s="230"/>
      <c r="P10" s="230"/>
      <c r="Q10" s="230"/>
      <c r="R10" s="230"/>
      <c r="S10" s="230"/>
      <c r="T10" s="230"/>
      <c r="U10" s="230"/>
      <c r="V10" s="230"/>
      <c r="W10" s="230"/>
      <c r="X10" s="230"/>
      <c r="Y10" s="230"/>
      <c r="Z10" s="230"/>
      <c r="AA10" s="230"/>
      <c r="AB10" s="230"/>
      <c r="AC10" s="230"/>
      <c r="AD10" s="230"/>
    </row>
    <row r="11" spans="1:30" ht="14.25" customHeight="1">
      <c r="A11" s="1177"/>
      <c r="B11" s="1177"/>
      <c r="C11" s="1177"/>
      <c r="D11" s="1177"/>
      <c r="E11" s="1177"/>
      <c r="F11" s="1177"/>
      <c r="G11" s="1177"/>
      <c r="H11" s="1177"/>
      <c r="I11" s="1177"/>
      <c r="J11" s="230"/>
      <c r="K11" s="230"/>
      <c r="L11" s="230"/>
      <c r="M11" s="230"/>
      <c r="N11" s="230"/>
      <c r="O11" s="230"/>
      <c r="P11" s="230"/>
      <c r="Q11" s="230"/>
      <c r="R11" s="230"/>
      <c r="S11" s="230"/>
      <c r="T11" s="230"/>
      <c r="U11" s="230"/>
      <c r="V11" s="230"/>
      <c r="W11" s="230"/>
      <c r="X11" s="230"/>
      <c r="Y11" s="230"/>
      <c r="Z11" s="230"/>
      <c r="AA11" s="230"/>
      <c r="AB11" s="230"/>
      <c r="AC11" s="230"/>
      <c r="AD11" s="230"/>
    </row>
    <row r="12" spans="1:30" ht="14.25" customHeight="1">
      <c r="A12" s="1178"/>
      <c r="B12" s="1178"/>
      <c r="C12" s="1178"/>
      <c r="D12" s="1178"/>
      <c r="E12" s="1178"/>
      <c r="F12" s="1178"/>
      <c r="G12" s="1178"/>
      <c r="H12" s="1178"/>
      <c r="I12" s="1178"/>
      <c r="J12" s="230"/>
      <c r="K12" s="230"/>
      <c r="L12" s="230"/>
      <c r="M12" s="230"/>
      <c r="N12" s="230"/>
      <c r="O12" s="230"/>
      <c r="P12" s="230"/>
      <c r="Q12" s="230"/>
      <c r="R12" s="230"/>
      <c r="S12" s="230"/>
      <c r="T12" s="230"/>
      <c r="U12" s="230"/>
      <c r="V12" s="230"/>
      <c r="W12" s="230"/>
      <c r="X12" s="230"/>
      <c r="Y12" s="230"/>
      <c r="Z12" s="230"/>
      <c r="AA12" s="230"/>
      <c r="AB12" s="230"/>
      <c r="AC12" s="230"/>
      <c r="AD12" s="230"/>
    </row>
    <row r="13" spans="1:30" ht="6" customHeight="1">
      <c r="A13" s="729"/>
      <c r="B13" s="729"/>
      <c r="C13" s="729"/>
      <c r="D13" s="729"/>
      <c r="E13" s="729"/>
      <c r="F13" s="729"/>
      <c r="G13" s="729"/>
      <c r="H13" s="729"/>
      <c r="I13" s="729"/>
      <c r="J13" s="230"/>
      <c r="K13" s="230"/>
      <c r="L13" s="230"/>
      <c r="M13" s="230"/>
      <c r="N13" s="230"/>
      <c r="O13" s="230"/>
      <c r="P13" s="230"/>
      <c r="Q13" s="230"/>
      <c r="R13" s="230"/>
      <c r="S13" s="230"/>
      <c r="T13" s="230"/>
      <c r="U13" s="230"/>
      <c r="V13" s="230"/>
      <c r="W13" s="230"/>
      <c r="X13" s="230"/>
      <c r="Y13" s="230"/>
      <c r="Z13" s="230"/>
      <c r="AA13" s="230"/>
      <c r="AB13" s="230"/>
      <c r="AC13" s="230"/>
      <c r="AD13" s="230"/>
    </row>
    <row r="14" spans="1:30" ht="59.25" customHeight="1">
      <c r="A14" s="1161" t="s">
        <v>1123</v>
      </c>
      <c r="B14" s="1161"/>
      <c r="C14" s="1161"/>
      <c r="D14" s="1161"/>
      <c r="E14" s="1161"/>
      <c r="F14" s="1161"/>
      <c r="G14" s="1161"/>
      <c r="H14" s="1161"/>
      <c r="I14" s="1161"/>
      <c r="J14" s="230"/>
      <c r="K14" s="230"/>
      <c r="L14" s="230"/>
      <c r="M14" s="230"/>
      <c r="N14" s="230"/>
      <c r="O14" s="230"/>
      <c r="P14" s="230"/>
      <c r="Q14" s="230"/>
      <c r="R14" s="230"/>
      <c r="S14" s="230"/>
      <c r="T14" s="230"/>
      <c r="U14" s="230"/>
      <c r="V14" s="230"/>
      <c r="W14" s="230"/>
      <c r="X14" s="230"/>
      <c r="Y14" s="230"/>
      <c r="Z14" s="230"/>
      <c r="AA14" s="230"/>
      <c r="AB14" s="230"/>
      <c r="AC14" s="230"/>
      <c r="AD14" s="230"/>
    </row>
    <row r="15" spans="1:30" ht="18" customHeight="1">
      <c r="A15" s="758" t="s">
        <v>808</v>
      </c>
      <c r="B15" s="735"/>
      <c r="C15" s="735"/>
      <c r="D15" s="735"/>
      <c r="E15" s="735"/>
      <c r="F15" s="735"/>
      <c r="G15" s="735"/>
      <c r="H15" s="735"/>
      <c r="I15" s="735"/>
      <c r="J15" s="10"/>
      <c r="K15" s="230"/>
      <c r="L15" s="230"/>
      <c r="M15" s="230"/>
      <c r="N15" s="230"/>
      <c r="O15" s="230"/>
      <c r="P15" s="230"/>
      <c r="Q15" s="230"/>
      <c r="R15" s="230"/>
      <c r="S15" s="230"/>
      <c r="T15" s="230"/>
      <c r="U15" s="230"/>
      <c r="V15" s="230"/>
      <c r="W15" s="230"/>
      <c r="X15" s="230"/>
      <c r="Y15" s="230"/>
      <c r="Z15" s="230"/>
      <c r="AA15" s="230"/>
      <c r="AB15" s="230"/>
      <c r="AC15" s="230"/>
      <c r="AD15" s="230"/>
    </row>
    <row r="16" spans="1:30" ht="6" customHeight="1">
      <c r="A16" s="698"/>
      <c r="B16" s="696"/>
      <c r="C16" s="696"/>
      <c r="D16" s="696"/>
      <c r="E16" s="696"/>
      <c r="F16" s="696"/>
      <c r="G16" s="696"/>
      <c r="H16" s="696"/>
      <c r="I16" s="696"/>
      <c r="J16" s="10"/>
      <c r="K16" s="230"/>
      <c r="L16" s="230"/>
      <c r="M16" s="230"/>
      <c r="N16" s="230"/>
      <c r="O16" s="230"/>
      <c r="P16" s="230"/>
      <c r="Q16" s="230"/>
      <c r="R16" s="230"/>
      <c r="S16" s="230"/>
      <c r="T16" s="230"/>
      <c r="U16" s="230"/>
      <c r="V16" s="230"/>
      <c r="W16" s="230"/>
      <c r="X16" s="230"/>
      <c r="Y16" s="230"/>
      <c r="Z16" s="230"/>
      <c r="AA16" s="230"/>
      <c r="AB16" s="230"/>
      <c r="AC16" s="230"/>
      <c r="AD16" s="230"/>
    </row>
    <row r="17" spans="1:30" ht="15">
      <c r="A17" s="695" t="s">
        <v>811</v>
      </c>
      <c r="B17" s="696"/>
      <c r="C17" s="696"/>
      <c r="D17" s="696"/>
      <c r="E17" s="696"/>
      <c r="F17" s="696"/>
      <c r="G17" s="696"/>
      <c r="H17" s="696"/>
      <c r="I17" s="696"/>
      <c r="J17" s="10"/>
      <c r="K17" s="230"/>
      <c r="L17" s="230"/>
      <c r="M17" s="230"/>
      <c r="N17" s="230"/>
      <c r="O17" s="230"/>
      <c r="P17" s="230"/>
      <c r="Q17" s="230"/>
      <c r="R17" s="230"/>
      <c r="S17" s="230"/>
      <c r="T17" s="230"/>
      <c r="U17" s="230"/>
      <c r="V17" s="230"/>
      <c r="W17" s="230"/>
      <c r="X17" s="230"/>
      <c r="Y17" s="230"/>
      <c r="Z17" s="230"/>
      <c r="AA17" s="230"/>
      <c r="AB17" s="230"/>
      <c r="AC17" s="230"/>
      <c r="AD17" s="230"/>
    </row>
    <row r="18" spans="1:30" ht="15">
      <c r="A18" s="695"/>
      <c r="B18" s="691" t="s">
        <v>809</v>
      </c>
      <c r="C18" s="691"/>
      <c r="D18" s="691"/>
      <c r="E18" s="1168" t="s">
        <v>1387</v>
      </c>
      <c r="F18" s="1169"/>
      <c r="G18" s="1169"/>
      <c r="H18" s="1169"/>
      <c r="I18" s="1170"/>
      <c r="J18" s="78"/>
      <c r="K18" s="230"/>
      <c r="L18" s="230"/>
      <c r="M18" s="230"/>
      <c r="N18" s="230"/>
      <c r="O18" s="230"/>
      <c r="P18" s="230"/>
      <c r="Q18" s="230"/>
      <c r="R18" s="230"/>
      <c r="S18" s="230"/>
      <c r="T18" s="230"/>
      <c r="U18" s="230"/>
      <c r="V18" s="230"/>
      <c r="W18" s="230"/>
      <c r="X18" s="230"/>
      <c r="Y18" s="230"/>
      <c r="Z18" s="230"/>
      <c r="AA18" s="230"/>
      <c r="AB18" s="230"/>
      <c r="AC18" s="230"/>
      <c r="AD18" s="230"/>
    </row>
    <row r="19" spans="1:30" ht="15">
      <c r="A19" s="695"/>
      <c r="B19" s="691"/>
      <c r="C19" s="691"/>
      <c r="D19" s="691"/>
      <c r="E19" s="1165"/>
      <c r="F19" s="1166"/>
      <c r="G19" s="1166"/>
      <c r="H19" s="1166"/>
      <c r="I19" s="1167"/>
      <c r="J19" s="78"/>
      <c r="K19" s="230"/>
      <c r="L19" s="230"/>
      <c r="M19" s="230"/>
      <c r="N19" s="230"/>
      <c r="O19" s="230"/>
      <c r="P19" s="230"/>
      <c r="Q19" s="230"/>
      <c r="R19" s="230"/>
      <c r="S19" s="230"/>
      <c r="T19" s="230"/>
      <c r="U19" s="230"/>
      <c r="V19" s="230"/>
      <c r="W19" s="230"/>
      <c r="X19" s="230"/>
      <c r="Y19" s="230"/>
      <c r="Z19" s="230"/>
      <c r="AA19" s="230"/>
      <c r="AB19" s="230"/>
      <c r="AC19" s="230"/>
      <c r="AD19" s="230"/>
    </row>
    <row r="20" spans="1:30" ht="14.25">
      <c r="A20" s="715"/>
      <c r="B20" s="691" t="s">
        <v>810</v>
      </c>
      <c r="C20" s="691"/>
      <c r="D20" s="691"/>
      <c r="E20" s="1171" t="s">
        <v>1388</v>
      </c>
      <c r="F20" s="1169"/>
      <c r="G20" s="1169"/>
      <c r="H20" s="1169"/>
      <c r="I20" s="1170"/>
      <c r="J20" s="10"/>
      <c r="K20" s="230"/>
      <c r="L20" s="230"/>
      <c r="M20" s="230"/>
      <c r="N20" s="230"/>
      <c r="O20" s="230"/>
      <c r="P20" s="230"/>
      <c r="Q20" s="230"/>
      <c r="R20" s="230"/>
      <c r="S20" s="230"/>
      <c r="T20" s="230"/>
      <c r="U20" s="230"/>
      <c r="V20" s="230"/>
      <c r="W20" s="230"/>
      <c r="X20" s="230"/>
      <c r="Y20" s="230"/>
      <c r="Z20" s="230"/>
      <c r="AA20" s="230"/>
      <c r="AB20" s="230"/>
      <c r="AC20" s="230"/>
      <c r="AD20" s="230"/>
    </row>
    <row r="21" spans="1:30" ht="14.25">
      <c r="A21" s="715"/>
      <c r="B21" s="691"/>
      <c r="C21" s="691"/>
      <c r="D21" s="691"/>
      <c r="E21" s="1165"/>
      <c r="F21" s="1166"/>
      <c r="G21" s="1166"/>
      <c r="H21" s="1166"/>
      <c r="I21" s="1167"/>
      <c r="J21" s="10"/>
      <c r="K21" s="230"/>
      <c r="L21" s="230"/>
      <c r="M21" s="230"/>
      <c r="N21" s="230"/>
      <c r="O21" s="230"/>
      <c r="P21" s="230"/>
      <c r="Q21" s="230"/>
      <c r="R21" s="230"/>
      <c r="S21" s="230"/>
      <c r="T21" s="230"/>
      <c r="U21" s="230"/>
      <c r="V21" s="230"/>
      <c r="W21" s="230"/>
      <c r="X21" s="230"/>
      <c r="Y21" s="230"/>
      <c r="Z21" s="230"/>
      <c r="AA21" s="230"/>
      <c r="AB21" s="230"/>
      <c r="AC21" s="230"/>
      <c r="AD21" s="230"/>
    </row>
    <row r="22" spans="1:30" ht="14.25">
      <c r="A22" s="715"/>
      <c r="B22" s="691"/>
      <c r="C22" s="691"/>
      <c r="D22" s="691"/>
      <c r="E22" s="691"/>
      <c r="F22" s="691"/>
      <c r="G22" s="691"/>
      <c r="H22" s="691"/>
      <c r="I22" s="691"/>
      <c r="J22" s="10"/>
      <c r="K22" s="230"/>
      <c r="L22" s="230"/>
      <c r="M22" s="230"/>
      <c r="N22" s="230"/>
      <c r="O22" s="230"/>
      <c r="P22" s="230"/>
      <c r="Q22" s="230"/>
      <c r="R22" s="230"/>
      <c r="S22" s="230"/>
      <c r="T22" s="230"/>
      <c r="U22" s="230"/>
      <c r="V22" s="230"/>
      <c r="W22" s="230"/>
      <c r="X22" s="230"/>
      <c r="Y22" s="230"/>
      <c r="Z22" s="230"/>
      <c r="AA22" s="230"/>
      <c r="AB22" s="230"/>
      <c r="AC22" s="230"/>
      <c r="AD22" s="230"/>
    </row>
    <row r="23" spans="1:30" ht="15" customHeight="1">
      <c r="A23" s="715"/>
      <c r="B23" s="691" t="s">
        <v>546</v>
      </c>
      <c r="C23" s="691"/>
      <c r="D23" s="696"/>
      <c r="E23" s="1172" t="s">
        <v>1389</v>
      </c>
      <c r="F23" s="1173"/>
      <c r="G23" s="1173"/>
      <c r="H23" s="1173"/>
      <c r="I23" s="1174"/>
      <c r="J23" s="10"/>
      <c r="K23" s="230"/>
      <c r="L23" s="230"/>
      <c r="M23" s="230"/>
      <c r="N23" s="230"/>
      <c r="O23" s="230"/>
      <c r="P23" s="230"/>
      <c r="Q23" s="230"/>
      <c r="R23" s="230"/>
      <c r="S23" s="230"/>
      <c r="T23" s="230"/>
      <c r="U23" s="230"/>
      <c r="V23" s="230"/>
      <c r="W23" s="230"/>
      <c r="X23" s="230"/>
      <c r="Y23" s="230"/>
      <c r="Z23" s="230"/>
      <c r="AA23" s="230"/>
      <c r="AB23" s="230"/>
      <c r="AC23" s="230"/>
      <c r="AD23" s="230"/>
    </row>
    <row r="24" spans="1:30" ht="15" customHeight="1">
      <c r="A24" s="715"/>
      <c r="B24" s="691"/>
      <c r="C24" s="691"/>
      <c r="D24" s="696"/>
      <c r="E24" s="716" t="s">
        <v>791</v>
      </c>
      <c r="F24" s="1115">
        <v>43466</v>
      </c>
      <c r="G24" s="717" t="s">
        <v>792</v>
      </c>
      <c r="H24" s="1175">
        <v>43830</v>
      </c>
      <c r="I24" s="1176"/>
      <c r="J24" s="10"/>
      <c r="K24" s="230"/>
      <c r="L24" s="230"/>
      <c r="M24" s="230"/>
      <c r="N24" s="230"/>
      <c r="O24" s="230"/>
      <c r="P24" s="230"/>
      <c r="Q24" s="230"/>
      <c r="R24" s="230"/>
      <c r="S24" s="230"/>
      <c r="T24" s="230"/>
      <c r="U24" s="230"/>
      <c r="V24" s="230"/>
      <c r="W24" s="230"/>
      <c r="X24" s="230"/>
      <c r="Y24" s="230"/>
      <c r="Z24" s="230"/>
      <c r="AA24" s="230"/>
      <c r="AB24" s="230"/>
      <c r="AC24" s="230"/>
      <c r="AD24" s="230"/>
    </row>
    <row r="25" spans="1:30" ht="14.25">
      <c r="A25" s="715"/>
      <c r="B25" s="691"/>
      <c r="C25" s="691"/>
      <c r="D25" s="696"/>
      <c r="E25" s="718"/>
      <c r="F25" s="718"/>
      <c r="G25" s="718"/>
      <c r="H25" s="718"/>
      <c r="I25" s="718"/>
      <c r="J25" s="10"/>
      <c r="K25" s="230"/>
      <c r="L25" s="230"/>
      <c r="M25" s="230"/>
      <c r="N25" s="230"/>
      <c r="O25" s="230"/>
      <c r="P25" s="230"/>
      <c r="Q25" s="230"/>
      <c r="R25" s="230"/>
      <c r="S25" s="230"/>
      <c r="T25" s="230"/>
      <c r="U25" s="230"/>
      <c r="V25" s="230"/>
      <c r="W25" s="230"/>
      <c r="X25" s="230"/>
      <c r="Y25" s="230"/>
      <c r="Z25" s="230"/>
      <c r="AA25" s="230"/>
      <c r="AB25" s="230"/>
      <c r="AC25" s="230"/>
      <c r="AD25" s="230"/>
    </row>
    <row r="26" spans="1:30" ht="14.25">
      <c r="A26" s="715"/>
      <c r="B26" s="696" t="s">
        <v>252</v>
      </c>
      <c r="C26" s="696"/>
      <c r="D26" s="696"/>
      <c r="E26" s="1168" t="s">
        <v>1390</v>
      </c>
      <c r="F26" s="1169"/>
      <c r="G26" s="1169"/>
      <c r="H26" s="1169"/>
      <c r="I26" s="1170"/>
      <c r="J26" s="10"/>
      <c r="K26" s="230"/>
      <c r="L26" s="230"/>
      <c r="M26" s="230"/>
      <c r="N26" s="230"/>
      <c r="O26" s="230"/>
      <c r="P26" s="230"/>
      <c r="Q26" s="230"/>
      <c r="R26" s="230"/>
      <c r="S26" s="230"/>
      <c r="T26" s="230"/>
      <c r="U26" s="230"/>
      <c r="V26" s="230"/>
      <c r="W26" s="230"/>
      <c r="X26" s="230"/>
      <c r="Y26" s="230"/>
      <c r="Z26" s="230"/>
      <c r="AA26" s="230"/>
      <c r="AB26" s="230"/>
      <c r="AC26" s="230"/>
      <c r="AD26" s="230"/>
    </row>
    <row r="27" spans="1:30" ht="14.25">
      <c r="A27" s="715"/>
      <c r="B27" s="696" t="s">
        <v>253</v>
      </c>
      <c r="C27" s="696"/>
      <c r="D27" s="696"/>
      <c r="E27" s="1168" t="s">
        <v>1391</v>
      </c>
      <c r="F27" s="1169"/>
      <c r="G27" s="1169"/>
      <c r="H27" s="1169"/>
      <c r="I27" s="1170"/>
      <c r="J27" s="10"/>
      <c r="K27" s="230"/>
      <c r="L27" s="230"/>
      <c r="M27" s="230"/>
      <c r="N27" s="230"/>
      <c r="O27" s="230"/>
      <c r="P27" s="230"/>
      <c r="Q27" s="230"/>
      <c r="R27" s="230"/>
      <c r="S27" s="230"/>
      <c r="T27" s="230"/>
      <c r="U27" s="230"/>
      <c r="V27" s="230"/>
      <c r="W27" s="230"/>
      <c r="X27" s="230"/>
      <c r="Y27" s="230"/>
      <c r="Z27" s="230"/>
      <c r="AA27" s="230"/>
      <c r="AB27" s="230"/>
      <c r="AC27" s="230"/>
      <c r="AD27" s="230"/>
    </row>
    <row r="28" spans="1:30" ht="14.25">
      <c r="A28" s="715"/>
      <c r="B28" s="696" t="s">
        <v>254</v>
      </c>
      <c r="C28" s="696"/>
      <c r="D28" s="696"/>
      <c r="E28" s="1162">
        <v>44348</v>
      </c>
      <c r="F28" s="1163"/>
      <c r="G28" s="1163"/>
      <c r="H28" s="1163"/>
      <c r="I28" s="1164"/>
      <c r="J28" s="10"/>
      <c r="K28" s="230"/>
      <c r="L28" s="230"/>
      <c r="M28" s="230"/>
      <c r="N28" s="230"/>
      <c r="O28" s="230"/>
      <c r="P28" s="230"/>
      <c r="Q28" s="230"/>
      <c r="R28" s="230"/>
      <c r="S28" s="230"/>
      <c r="T28" s="230"/>
      <c r="U28" s="230"/>
      <c r="V28" s="230"/>
      <c r="W28" s="230"/>
      <c r="X28" s="230"/>
      <c r="Y28" s="230"/>
      <c r="Z28" s="230"/>
      <c r="AA28" s="230"/>
      <c r="AB28" s="230"/>
      <c r="AC28" s="230"/>
      <c r="AD28" s="230"/>
    </row>
    <row r="29" spans="1:30" ht="8.25" customHeight="1">
      <c r="A29" s="696"/>
      <c r="B29" s="696"/>
      <c r="C29" s="696"/>
      <c r="D29" s="696"/>
      <c r="E29" s="696"/>
      <c r="F29" s="696"/>
      <c r="G29" s="696"/>
      <c r="H29" s="696"/>
      <c r="I29" s="696"/>
      <c r="J29" s="10"/>
      <c r="K29" s="230"/>
      <c r="L29" s="230"/>
      <c r="M29" s="230"/>
      <c r="N29" s="230"/>
      <c r="O29" s="230"/>
      <c r="P29" s="230"/>
      <c r="Q29" s="230"/>
      <c r="R29" s="230"/>
      <c r="S29" s="230"/>
      <c r="T29" s="230"/>
      <c r="U29" s="230"/>
      <c r="V29" s="230"/>
      <c r="W29" s="230"/>
      <c r="X29" s="230"/>
      <c r="Y29" s="230"/>
      <c r="Z29" s="230"/>
      <c r="AA29" s="230"/>
      <c r="AB29" s="230"/>
      <c r="AC29" s="230"/>
      <c r="AD29" s="230"/>
    </row>
    <row r="30" spans="1:30" ht="18.75">
      <c r="A30" s="760" t="s">
        <v>812</v>
      </c>
      <c r="B30" s="759"/>
      <c r="C30" s="759"/>
      <c r="D30" s="696"/>
      <c r="E30" s="696"/>
      <c r="F30" s="696"/>
      <c r="G30" s="696"/>
      <c r="H30" s="696"/>
      <c r="I30" s="696"/>
      <c r="J30" s="10"/>
      <c r="K30" s="230"/>
      <c r="L30" s="230"/>
      <c r="M30" s="230"/>
      <c r="N30" s="230"/>
      <c r="O30" s="230"/>
      <c r="P30" s="230"/>
      <c r="Q30" s="230"/>
      <c r="R30" s="230"/>
      <c r="S30" s="230"/>
      <c r="T30" s="230"/>
      <c r="U30" s="230"/>
      <c r="V30" s="230"/>
      <c r="W30" s="230"/>
      <c r="X30" s="230"/>
      <c r="Y30" s="230"/>
      <c r="Z30" s="230"/>
      <c r="AA30" s="230"/>
      <c r="AB30" s="230"/>
      <c r="AC30" s="230"/>
      <c r="AD30" s="230"/>
    </row>
    <row r="31" spans="1:30" ht="6" customHeight="1">
      <c r="A31" s="691"/>
      <c r="B31" s="691"/>
      <c r="C31" s="691"/>
      <c r="D31" s="691"/>
      <c r="E31" s="691"/>
      <c r="F31" s="691"/>
      <c r="G31" s="691"/>
      <c r="H31" s="691"/>
      <c r="I31" s="719"/>
      <c r="J31" s="129"/>
      <c r="K31" s="230"/>
      <c r="L31" s="230"/>
      <c r="M31" s="230"/>
      <c r="N31" s="230"/>
      <c r="O31" s="230"/>
      <c r="P31" s="230"/>
      <c r="Q31" s="230"/>
      <c r="R31" s="230"/>
      <c r="S31" s="230"/>
      <c r="T31" s="230"/>
      <c r="U31" s="230"/>
      <c r="V31" s="230"/>
      <c r="W31" s="230"/>
      <c r="X31" s="230"/>
      <c r="Y31" s="230"/>
      <c r="Z31" s="230"/>
      <c r="AA31" s="230"/>
      <c r="AB31" s="230"/>
      <c r="AC31" s="230"/>
      <c r="AD31" s="230"/>
    </row>
    <row r="32" spans="1:30" ht="14.25">
      <c r="A32" s="696"/>
      <c r="B32" s="843" t="s">
        <v>834</v>
      </c>
      <c r="C32" s="696"/>
      <c r="D32" s="696"/>
      <c r="E32" s="696"/>
      <c r="F32" s="696"/>
      <c r="G32" s="696"/>
      <c r="H32" s="696"/>
      <c r="I32" s="696"/>
      <c r="J32" s="14"/>
      <c r="K32" s="230"/>
      <c r="L32" s="230"/>
      <c r="M32" s="230"/>
      <c r="N32" s="230"/>
      <c r="O32" s="230"/>
      <c r="P32" s="230"/>
      <c r="Q32" s="230"/>
      <c r="R32" s="230"/>
      <c r="S32" s="230"/>
      <c r="T32" s="230"/>
      <c r="U32" s="230"/>
      <c r="V32" s="230"/>
      <c r="W32" s="230"/>
      <c r="X32" s="230"/>
      <c r="Y32" s="230"/>
      <c r="Z32" s="230"/>
      <c r="AA32" s="230"/>
      <c r="AB32" s="230"/>
      <c r="AC32" s="230"/>
      <c r="AD32" s="230"/>
    </row>
    <row r="33" spans="1:30" ht="21" customHeight="1">
      <c r="A33" s="696"/>
      <c r="B33" s="721" t="s">
        <v>148</v>
      </c>
      <c r="C33" s="722"/>
      <c r="D33" s="722"/>
      <c r="E33" s="722"/>
      <c r="F33" s="723"/>
      <c r="G33" s="724">
        <f>'Stationary Combustion'!E95+'Waste Gases'!E47</f>
        <v>0</v>
      </c>
      <c r="H33" s="696" t="s">
        <v>788</v>
      </c>
      <c r="I33" s="696"/>
      <c r="J33" s="14"/>
      <c r="K33" s="230"/>
      <c r="L33" s="230"/>
      <c r="M33" s="230"/>
      <c r="N33" s="230"/>
      <c r="O33" s="230"/>
      <c r="P33" s="230"/>
      <c r="Q33" s="230"/>
      <c r="R33" s="230"/>
      <c r="S33" s="230"/>
      <c r="T33" s="230"/>
      <c r="U33" s="230"/>
      <c r="V33" s="230"/>
      <c r="W33" s="230"/>
      <c r="X33" s="230"/>
      <c r="Y33" s="230"/>
      <c r="Z33" s="230"/>
      <c r="AA33" s="230"/>
      <c r="AB33" s="230"/>
      <c r="AC33" s="230"/>
      <c r="AD33" s="230"/>
    </row>
    <row r="34" spans="1:30" ht="21" customHeight="1">
      <c r="A34" s="696"/>
      <c r="B34" s="721" t="s">
        <v>149</v>
      </c>
      <c r="C34" s="722"/>
      <c r="D34" s="722"/>
      <c r="E34" s="722"/>
      <c r="F34" s="723"/>
      <c r="G34" s="724">
        <f>'Mobile Sources'!E218</f>
        <v>0</v>
      </c>
      <c r="H34" s="696" t="s">
        <v>788</v>
      </c>
      <c r="I34" s="696"/>
      <c r="J34" s="14"/>
      <c r="K34" s="230"/>
      <c r="L34" s="230"/>
      <c r="M34" s="230"/>
      <c r="N34" s="230"/>
      <c r="O34" s="230"/>
      <c r="P34" s="230"/>
      <c r="Q34" s="230"/>
      <c r="R34" s="230"/>
      <c r="S34" s="230"/>
      <c r="T34" s="230"/>
      <c r="U34" s="230"/>
      <c r="V34" s="230"/>
      <c r="W34" s="230"/>
      <c r="X34" s="230"/>
      <c r="Y34" s="230"/>
      <c r="Z34" s="230"/>
      <c r="AA34" s="230"/>
      <c r="AB34" s="230"/>
      <c r="AC34" s="230"/>
      <c r="AD34" s="230"/>
    </row>
    <row r="35" spans="1:30" ht="21" customHeight="1">
      <c r="A35" s="696"/>
      <c r="B35" s="721" t="s">
        <v>479</v>
      </c>
      <c r="C35" s="722"/>
      <c r="D35" s="722"/>
      <c r="E35" s="722"/>
      <c r="F35" s="723"/>
      <c r="G35" s="724">
        <f>'Refrigeration and AC'!F130</f>
        <v>0</v>
      </c>
      <c r="H35" s="696" t="s">
        <v>788</v>
      </c>
      <c r="I35" s="696"/>
      <c r="J35" s="14"/>
      <c r="K35" s="230"/>
      <c r="L35" s="230"/>
      <c r="M35" s="230"/>
      <c r="N35" s="230"/>
      <c r="O35" s="230"/>
      <c r="P35" s="230"/>
      <c r="Q35" s="230"/>
      <c r="R35" s="230"/>
      <c r="S35" s="230"/>
      <c r="T35" s="230"/>
      <c r="U35" s="230"/>
      <c r="V35" s="230"/>
      <c r="W35" s="230"/>
      <c r="X35" s="230"/>
      <c r="Y35" s="230"/>
      <c r="Z35" s="230"/>
      <c r="AA35" s="230"/>
      <c r="AB35" s="230"/>
      <c r="AC35" s="230"/>
      <c r="AD35" s="230"/>
    </row>
    <row r="36" spans="1:30" ht="21" customHeight="1">
      <c r="A36" s="696"/>
      <c r="B36" s="721" t="s">
        <v>331</v>
      </c>
      <c r="C36" s="722"/>
      <c r="D36" s="722"/>
      <c r="E36" s="722"/>
      <c r="F36" s="723"/>
      <c r="G36" s="724">
        <f>'Fire Suppression'!F109</f>
        <v>0</v>
      </c>
      <c r="H36" s="696" t="s">
        <v>788</v>
      </c>
      <c r="I36" s="696"/>
      <c r="J36" s="14"/>
      <c r="K36" s="230"/>
      <c r="L36" s="230"/>
      <c r="M36" s="230"/>
      <c r="N36" s="230"/>
      <c r="O36" s="230"/>
      <c r="P36" s="230"/>
      <c r="Q36" s="230"/>
      <c r="R36" s="230"/>
      <c r="S36" s="230"/>
      <c r="T36" s="230"/>
      <c r="U36" s="230"/>
      <c r="V36" s="230"/>
      <c r="W36" s="230"/>
      <c r="X36" s="230"/>
      <c r="Y36" s="230"/>
      <c r="Z36" s="230"/>
      <c r="AA36" s="230"/>
      <c r="AB36" s="230"/>
      <c r="AC36" s="230"/>
      <c r="AD36" s="230"/>
    </row>
    <row r="37" spans="1:30" ht="21" customHeight="1">
      <c r="A37" s="696"/>
      <c r="B37" s="721" t="s">
        <v>547</v>
      </c>
      <c r="C37" s="722"/>
      <c r="D37" s="722"/>
      <c r="E37" s="722"/>
      <c r="F37" s="723"/>
      <c r="G37" s="724">
        <f>'Purchased Gases'!E30</f>
        <v>0</v>
      </c>
      <c r="H37" s="696" t="s">
        <v>788</v>
      </c>
      <c r="I37" s="696"/>
      <c r="J37" s="14"/>
      <c r="K37" s="230"/>
      <c r="L37" s="230"/>
      <c r="M37" s="230"/>
      <c r="N37" s="230"/>
      <c r="O37" s="230"/>
      <c r="P37" s="230"/>
      <c r="Q37" s="230"/>
      <c r="R37" s="230"/>
      <c r="S37" s="230"/>
      <c r="T37" s="230"/>
      <c r="U37" s="230"/>
      <c r="V37" s="230"/>
      <c r="W37" s="230"/>
      <c r="X37" s="230"/>
      <c r="Y37" s="230"/>
      <c r="Z37" s="230"/>
      <c r="AA37" s="230"/>
      <c r="AB37" s="230"/>
      <c r="AC37" s="230"/>
      <c r="AD37" s="230"/>
    </row>
    <row r="38" spans="1:30" ht="14.25">
      <c r="A38" s="696"/>
      <c r="B38" s="691"/>
      <c r="C38" s="691"/>
      <c r="D38" s="691"/>
      <c r="E38" s="691"/>
      <c r="F38" s="725"/>
      <c r="G38" s="696"/>
      <c r="H38" s="696"/>
      <c r="I38" s="696"/>
      <c r="J38" s="14"/>
      <c r="K38" s="230"/>
      <c r="L38" s="230"/>
      <c r="M38" s="230"/>
      <c r="N38" s="230"/>
      <c r="O38" s="230"/>
      <c r="P38" s="230"/>
      <c r="Q38" s="230"/>
      <c r="R38" s="230"/>
      <c r="S38" s="230"/>
      <c r="T38" s="230"/>
      <c r="U38" s="230"/>
      <c r="V38" s="230"/>
      <c r="W38" s="230"/>
      <c r="X38" s="230"/>
      <c r="Y38" s="230"/>
      <c r="Z38" s="230"/>
      <c r="AA38" s="230"/>
      <c r="AB38" s="230"/>
      <c r="AC38" s="230"/>
      <c r="AD38" s="230"/>
    </row>
    <row r="39" spans="1:30" ht="14.25">
      <c r="A39" s="696"/>
      <c r="B39" s="726" t="s">
        <v>1066</v>
      </c>
      <c r="C39" s="691"/>
      <c r="D39" s="844"/>
      <c r="E39" s="691"/>
      <c r="F39" s="725"/>
      <c r="G39" s="696"/>
      <c r="H39" s="696"/>
      <c r="I39" s="696"/>
      <c r="J39" s="10"/>
      <c r="K39" s="230"/>
      <c r="L39" s="230"/>
      <c r="M39" s="230"/>
      <c r="N39" s="230"/>
      <c r="O39" s="230"/>
      <c r="P39" s="230"/>
      <c r="Q39" s="230"/>
      <c r="R39" s="230"/>
      <c r="S39" s="230"/>
      <c r="T39" s="230"/>
      <c r="U39" s="230"/>
      <c r="V39" s="230"/>
      <c r="W39" s="230"/>
      <c r="X39" s="230"/>
      <c r="Y39" s="230"/>
      <c r="Z39" s="230"/>
      <c r="AA39" s="230"/>
      <c r="AB39" s="230"/>
      <c r="AC39" s="230"/>
      <c r="AD39" s="230"/>
    </row>
    <row r="40" spans="1:30" ht="21" customHeight="1">
      <c r="A40" s="696"/>
      <c r="B40" s="721" t="s">
        <v>150</v>
      </c>
      <c r="C40" s="722"/>
      <c r="D40" s="722"/>
      <c r="E40" s="722"/>
      <c r="F40" s="723"/>
      <c r="G40" s="724">
        <f>Electricity!E63</f>
        <v>5.9085106900848006</v>
      </c>
      <c r="H40" s="696" t="s">
        <v>788</v>
      </c>
      <c r="I40" s="696"/>
      <c r="J40" s="10"/>
      <c r="K40" s="230"/>
      <c r="L40" s="230"/>
      <c r="M40" s="230"/>
      <c r="N40" s="230"/>
      <c r="O40" s="230"/>
      <c r="P40" s="230"/>
      <c r="Q40" s="230"/>
      <c r="R40" s="230"/>
      <c r="S40" s="230"/>
      <c r="T40" s="230"/>
      <c r="U40" s="230"/>
      <c r="V40" s="230"/>
      <c r="W40" s="230"/>
      <c r="X40" s="230"/>
      <c r="Y40" s="230"/>
      <c r="Z40" s="230"/>
      <c r="AA40" s="230"/>
      <c r="AB40" s="230"/>
      <c r="AC40" s="230"/>
      <c r="AD40" s="230"/>
    </row>
    <row r="41" spans="1:30" ht="21" customHeight="1">
      <c r="A41" s="696"/>
      <c r="B41" s="721" t="s">
        <v>151</v>
      </c>
      <c r="C41" s="722"/>
      <c r="D41" s="722"/>
      <c r="E41" s="722"/>
      <c r="F41" s="723"/>
      <c r="G41" s="724">
        <f>Steam!F113</f>
        <v>23.007080250000001</v>
      </c>
      <c r="H41" s="696" t="s">
        <v>788</v>
      </c>
      <c r="I41" s="696"/>
      <c r="J41" s="10"/>
      <c r="K41" s="230"/>
      <c r="L41" s="230"/>
      <c r="M41" s="230"/>
      <c r="N41" s="230"/>
      <c r="O41" s="230"/>
      <c r="P41" s="230"/>
      <c r="Q41" s="230"/>
      <c r="R41" s="230"/>
      <c r="S41" s="230"/>
      <c r="T41" s="230"/>
      <c r="U41" s="230"/>
      <c r="V41" s="230"/>
      <c r="W41" s="230"/>
      <c r="X41" s="230"/>
      <c r="Y41" s="230"/>
      <c r="Z41" s="230"/>
      <c r="AA41" s="230"/>
      <c r="AB41" s="230"/>
      <c r="AC41" s="230"/>
      <c r="AD41" s="230"/>
    </row>
    <row r="42" spans="1:30" ht="14.25">
      <c r="A42" s="696"/>
      <c r="B42" s="691"/>
      <c r="C42" s="691"/>
      <c r="D42" s="691"/>
      <c r="E42" s="691"/>
      <c r="F42" s="725"/>
      <c r="G42" s="696"/>
      <c r="H42" s="696"/>
      <c r="I42" s="696"/>
      <c r="J42" s="10"/>
      <c r="K42" s="230"/>
      <c r="L42" s="230"/>
      <c r="M42" s="230"/>
      <c r="N42" s="230"/>
      <c r="O42" s="230"/>
      <c r="P42" s="230"/>
      <c r="Q42" s="230"/>
      <c r="R42" s="230"/>
      <c r="S42" s="230"/>
      <c r="T42" s="230"/>
      <c r="U42" s="230"/>
      <c r="V42" s="230"/>
      <c r="W42" s="230"/>
      <c r="X42" s="230"/>
      <c r="Y42" s="230"/>
      <c r="Z42" s="230"/>
      <c r="AA42" s="230"/>
      <c r="AB42" s="230"/>
      <c r="AC42" s="230"/>
      <c r="AD42" s="230"/>
    </row>
    <row r="43" spans="1:30" ht="14.25">
      <c r="A43" s="696"/>
      <c r="B43" s="726" t="s">
        <v>1067</v>
      </c>
      <c r="C43" s="691"/>
      <c r="D43" s="844"/>
      <c r="E43" s="691"/>
      <c r="F43" s="725"/>
      <c r="G43" s="696"/>
      <c r="H43" s="696"/>
      <c r="I43" s="696"/>
      <c r="J43" s="10"/>
      <c r="K43" s="230"/>
      <c r="L43" s="230"/>
      <c r="M43" s="230"/>
      <c r="N43" s="230"/>
      <c r="O43" s="230"/>
      <c r="P43" s="230"/>
      <c r="Q43" s="230"/>
      <c r="R43" s="230"/>
      <c r="S43" s="230"/>
      <c r="T43" s="230"/>
      <c r="U43" s="230"/>
      <c r="V43" s="230"/>
      <c r="W43" s="230"/>
      <c r="X43" s="230"/>
      <c r="Y43" s="230"/>
      <c r="Z43" s="230"/>
      <c r="AA43" s="230"/>
      <c r="AB43" s="230"/>
      <c r="AC43" s="230"/>
      <c r="AD43" s="230"/>
    </row>
    <row r="44" spans="1:30" ht="21" customHeight="1">
      <c r="A44" s="696"/>
      <c r="B44" s="721" t="s">
        <v>150</v>
      </c>
      <c r="C44" s="722"/>
      <c r="D44" s="722"/>
      <c r="E44" s="722"/>
      <c r="F44" s="723"/>
      <c r="G44" s="724">
        <f>Electricity!E64</f>
        <v>11.598088997779199</v>
      </c>
      <c r="H44" s="696" t="s">
        <v>788</v>
      </c>
      <c r="I44" s="696"/>
      <c r="J44" s="14"/>
      <c r="K44" s="230"/>
      <c r="L44" s="230"/>
      <c r="M44" s="230"/>
      <c r="N44" s="230"/>
      <c r="O44" s="230"/>
      <c r="P44" s="230"/>
      <c r="Q44" s="230"/>
      <c r="R44" s="230"/>
      <c r="S44" s="230"/>
      <c r="T44" s="230"/>
      <c r="U44" s="230"/>
      <c r="V44" s="230"/>
      <c r="W44" s="230"/>
      <c r="X44" s="230"/>
      <c r="Y44" s="230"/>
      <c r="Z44" s="230"/>
      <c r="AA44" s="230"/>
      <c r="AB44" s="230"/>
      <c r="AC44" s="230"/>
      <c r="AD44" s="230"/>
    </row>
    <row r="45" spans="1:30" ht="21" customHeight="1">
      <c r="A45" s="696"/>
      <c r="B45" s="721" t="s">
        <v>151</v>
      </c>
      <c r="C45" s="722"/>
      <c r="D45" s="722"/>
      <c r="E45" s="722"/>
      <c r="F45" s="723"/>
      <c r="G45" s="724">
        <f>Steam!F114</f>
        <v>23.007080250000001</v>
      </c>
      <c r="H45" s="696" t="s">
        <v>788</v>
      </c>
      <c r="I45" s="696"/>
      <c r="J45" s="10"/>
      <c r="K45" s="230"/>
      <c r="L45" s="230"/>
      <c r="M45" s="230"/>
      <c r="N45" s="230"/>
      <c r="O45" s="230"/>
      <c r="P45" s="230"/>
      <c r="Q45" s="230"/>
      <c r="R45" s="230"/>
      <c r="S45" s="230"/>
      <c r="T45" s="230"/>
      <c r="U45" s="230"/>
      <c r="V45" s="230"/>
      <c r="W45" s="230"/>
      <c r="X45" s="230"/>
      <c r="Y45" s="230"/>
      <c r="Z45" s="230"/>
      <c r="AA45" s="230"/>
      <c r="AB45" s="230"/>
      <c r="AC45" s="230"/>
      <c r="AD45" s="230"/>
    </row>
    <row r="46" spans="1:30" ht="14.25">
      <c r="A46" s="696"/>
      <c r="B46" s="691"/>
      <c r="C46" s="691"/>
      <c r="D46" s="691"/>
      <c r="E46" s="691"/>
      <c r="F46" s="725"/>
      <c r="G46" s="696"/>
      <c r="H46" s="696"/>
      <c r="I46" s="696"/>
      <c r="J46" s="10"/>
      <c r="K46" s="230"/>
      <c r="L46" s="230"/>
      <c r="M46" s="230"/>
      <c r="N46" s="230"/>
      <c r="O46" s="230"/>
      <c r="P46" s="230"/>
      <c r="Q46" s="230"/>
      <c r="R46" s="230"/>
      <c r="S46" s="230"/>
      <c r="T46" s="230"/>
      <c r="U46" s="230"/>
      <c r="V46" s="230"/>
      <c r="W46" s="230"/>
      <c r="X46" s="230"/>
      <c r="Y46" s="230"/>
      <c r="Z46" s="230"/>
      <c r="AA46" s="230"/>
      <c r="AB46" s="230"/>
      <c r="AC46" s="230"/>
      <c r="AD46" s="230"/>
    </row>
    <row r="47" spans="1:30" ht="15" thickBot="1">
      <c r="A47" s="696"/>
      <c r="B47" s="726" t="s">
        <v>1124</v>
      </c>
      <c r="C47" s="691"/>
      <c r="D47" s="691"/>
      <c r="E47" s="691"/>
      <c r="F47" s="725"/>
      <c r="G47" s="696"/>
      <c r="H47" s="696"/>
      <c r="I47" s="696"/>
      <c r="J47" s="10"/>
      <c r="K47" s="230"/>
      <c r="L47" s="230"/>
      <c r="M47" s="230"/>
      <c r="N47" s="230"/>
      <c r="O47" s="230"/>
      <c r="P47" s="230"/>
      <c r="Q47" s="230"/>
      <c r="R47" s="230"/>
      <c r="S47" s="230"/>
      <c r="T47" s="230"/>
      <c r="U47" s="230"/>
      <c r="V47" s="230"/>
      <c r="W47" s="230"/>
      <c r="X47" s="230"/>
      <c r="Y47" s="230"/>
      <c r="Z47" s="230"/>
      <c r="AA47" s="230"/>
      <c r="AB47" s="230"/>
      <c r="AC47" s="230"/>
      <c r="AD47" s="230"/>
    </row>
    <row r="48" spans="1:30" ht="19.5" thickBot="1">
      <c r="A48" s="696"/>
      <c r="B48" s="845" t="s">
        <v>963</v>
      </c>
      <c r="C48" s="846"/>
      <c r="D48" s="846"/>
      <c r="E48" s="846"/>
      <c r="F48" s="728"/>
      <c r="G48" s="823">
        <f>SUM(G33:G37,G40:G41)</f>
        <v>28.915590940084801</v>
      </c>
      <c r="H48" s="696" t="s">
        <v>788</v>
      </c>
      <c r="I48" s="696"/>
      <c r="J48" s="10"/>
      <c r="K48" s="230"/>
      <c r="L48" s="230"/>
      <c r="M48" s="230"/>
      <c r="N48" s="230"/>
      <c r="O48" s="230"/>
      <c r="P48" s="230"/>
      <c r="Q48" s="230"/>
      <c r="R48" s="230"/>
      <c r="S48" s="230"/>
      <c r="T48" s="230"/>
      <c r="U48" s="230"/>
      <c r="V48" s="230"/>
      <c r="W48" s="230"/>
      <c r="X48" s="230"/>
      <c r="Y48" s="230"/>
      <c r="Z48" s="230"/>
      <c r="AA48" s="230"/>
      <c r="AB48" s="230"/>
      <c r="AC48" s="230"/>
      <c r="AD48" s="230"/>
    </row>
    <row r="49" spans="1:30" ht="19.5" thickBot="1">
      <c r="A49" s="696"/>
      <c r="B49" s="847" t="s">
        <v>964</v>
      </c>
      <c r="C49" s="848"/>
      <c r="D49" s="848"/>
      <c r="E49" s="848"/>
      <c r="F49" s="821"/>
      <c r="G49" s="822">
        <f>SUM(G33:G37,G44:G45)</f>
        <v>34.605169247779202</v>
      </c>
      <c r="H49" s="696" t="s">
        <v>788</v>
      </c>
      <c r="I49" s="696"/>
      <c r="J49" s="10"/>
      <c r="K49" s="230"/>
      <c r="L49" s="230"/>
      <c r="M49" s="230"/>
      <c r="N49" s="230"/>
      <c r="O49" s="230"/>
      <c r="P49" s="230"/>
      <c r="Q49" s="230"/>
      <c r="R49" s="230"/>
      <c r="S49" s="230"/>
      <c r="T49" s="230"/>
      <c r="U49" s="230"/>
      <c r="V49" s="230"/>
      <c r="W49" s="230"/>
      <c r="X49" s="230"/>
      <c r="Y49" s="230"/>
      <c r="Z49" s="230"/>
      <c r="AA49" s="230"/>
      <c r="AB49" s="230"/>
      <c r="AC49" s="230"/>
      <c r="AD49" s="230"/>
    </row>
    <row r="50" spans="1:30" ht="14.25">
      <c r="A50" s="696"/>
      <c r="B50" s="696"/>
      <c r="C50" s="696"/>
      <c r="D50" s="696"/>
      <c r="E50" s="696"/>
      <c r="F50" s="696"/>
      <c r="G50" s="696"/>
      <c r="H50" s="696"/>
      <c r="I50" s="696"/>
      <c r="J50" s="10"/>
      <c r="K50" s="230"/>
      <c r="L50" s="230"/>
      <c r="M50" s="230"/>
      <c r="N50" s="230"/>
      <c r="O50" s="230"/>
      <c r="P50" s="230"/>
      <c r="Q50" s="230"/>
      <c r="R50" s="230"/>
      <c r="S50" s="230"/>
      <c r="T50" s="230"/>
      <c r="U50" s="230"/>
      <c r="V50" s="230"/>
      <c r="W50" s="230"/>
      <c r="X50" s="230"/>
      <c r="Y50" s="230"/>
      <c r="Z50" s="230"/>
      <c r="AA50" s="230"/>
      <c r="AB50" s="230"/>
      <c r="AC50" s="230"/>
      <c r="AD50" s="230"/>
    </row>
    <row r="51" spans="1:30" ht="14.25">
      <c r="A51" s="696"/>
      <c r="B51" s="726" t="s">
        <v>275</v>
      </c>
      <c r="C51" s="691"/>
      <c r="D51" s="691"/>
      <c r="E51" s="691"/>
      <c r="F51" s="725"/>
      <c r="G51" s="696"/>
      <c r="H51" s="696"/>
      <c r="I51" s="696"/>
      <c r="J51" s="10"/>
      <c r="K51" s="230"/>
      <c r="L51" s="230"/>
      <c r="M51" s="230"/>
      <c r="N51" s="230"/>
      <c r="O51" s="230"/>
      <c r="P51" s="230"/>
      <c r="Q51" s="230"/>
      <c r="R51" s="230"/>
      <c r="S51" s="230"/>
      <c r="T51" s="230"/>
      <c r="U51" s="230"/>
      <c r="V51" s="230"/>
      <c r="W51" s="230"/>
      <c r="X51" s="230"/>
      <c r="Y51" s="230"/>
      <c r="Z51" s="230"/>
      <c r="AA51" s="230"/>
      <c r="AB51" s="230"/>
      <c r="AC51" s="230"/>
      <c r="AD51" s="230"/>
    </row>
    <row r="52" spans="1:30" ht="21" customHeight="1">
      <c r="A52" s="696"/>
      <c r="B52" s="721" t="s">
        <v>268</v>
      </c>
      <c r="C52" s="722"/>
      <c r="D52" s="722"/>
      <c r="E52" s="722"/>
      <c r="F52" s="723"/>
      <c r="G52" s="727">
        <f>Offsets!C25</f>
        <v>0</v>
      </c>
      <c r="H52" s="696" t="s">
        <v>788</v>
      </c>
      <c r="I52" s="696"/>
      <c r="J52" s="10"/>
      <c r="K52" s="230"/>
      <c r="L52" s="230"/>
      <c r="M52" s="230"/>
      <c r="N52" s="230"/>
      <c r="O52" s="230"/>
      <c r="P52" s="230"/>
      <c r="Q52" s="230"/>
      <c r="R52" s="230"/>
      <c r="S52" s="230"/>
      <c r="T52" s="230"/>
      <c r="U52" s="230"/>
      <c r="V52" s="230"/>
      <c r="W52" s="230"/>
      <c r="X52" s="230"/>
      <c r="Y52" s="230"/>
      <c r="Z52" s="230"/>
      <c r="AA52" s="230"/>
      <c r="AB52" s="230"/>
      <c r="AC52" s="230"/>
      <c r="AD52" s="230"/>
    </row>
    <row r="53" spans="1:30" ht="14.25">
      <c r="A53" s="696"/>
      <c r="B53" s="696"/>
      <c r="C53" s="696"/>
      <c r="D53" s="696"/>
      <c r="E53" s="696"/>
      <c r="F53" s="696"/>
      <c r="G53" s="696"/>
      <c r="H53" s="696"/>
      <c r="I53" s="696"/>
      <c r="J53" s="10"/>
      <c r="K53" s="230"/>
      <c r="L53" s="230"/>
      <c r="M53" s="230"/>
      <c r="N53" s="230"/>
      <c r="O53" s="230"/>
      <c r="P53" s="230"/>
      <c r="Q53" s="230"/>
      <c r="R53" s="230"/>
      <c r="S53" s="230"/>
      <c r="T53" s="230"/>
      <c r="U53" s="230"/>
      <c r="V53" s="230"/>
      <c r="W53" s="230"/>
      <c r="X53" s="230"/>
      <c r="Y53" s="230"/>
      <c r="Z53" s="230"/>
      <c r="AA53" s="230"/>
      <c r="AB53" s="230"/>
      <c r="AC53" s="230"/>
      <c r="AD53" s="230"/>
    </row>
    <row r="54" spans="1:30" ht="18.75">
      <c r="A54" s="696"/>
      <c r="B54" s="849" t="s">
        <v>965</v>
      </c>
      <c r="C54" s="849"/>
      <c r="D54" s="840"/>
      <c r="E54" s="840"/>
      <c r="F54" s="840"/>
      <c r="G54" s="839">
        <f>G48-G52</f>
        <v>28.915590940084801</v>
      </c>
      <c r="H54" s="696" t="s">
        <v>788</v>
      </c>
      <c r="I54" s="696"/>
      <c r="J54" s="10"/>
      <c r="K54" s="230"/>
      <c r="L54" s="230"/>
      <c r="M54" s="230"/>
      <c r="N54" s="230"/>
      <c r="O54" s="230"/>
      <c r="P54" s="230"/>
      <c r="Q54" s="230"/>
      <c r="R54" s="230"/>
      <c r="S54" s="230"/>
      <c r="T54" s="230"/>
      <c r="U54" s="230"/>
      <c r="V54" s="230"/>
      <c r="W54" s="230"/>
      <c r="X54" s="230"/>
      <c r="Y54" s="230"/>
      <c r="Z54" s="230"/>
      <c r="AA54" s="230"/>
      <c r="AB54" s="230"/>
      <c r="AC54" s="230"/>
      <c r="AD54" s="230"/>
    </row>
    <row r="55" spans="1:30" ht="18.75">
      <c r="A55" s="696"/>
      <c r="B55" s="850" t="s">
        <v>966</v>
      </c>
      <c r="C55" s="851"/>
      <c r="D55" s="722"/>
      <c r="E55" s="722"/>
      <c r="F55" s="723"/>
      <c r="G55" s="724">
        <f>G49-G51</f>
        <v>34.605169247779202</v>
      </c>
      <c r="H55" s="696" t="s">
        <v>788</v>
      </c>
      <c r="I55" s="696"/>
      <c r="J55" s="10"/>
      <c r="K55" s="230"/>
      <c r="L55" s="230"/>
      <c r="M55" s="230"/>
      <c r="N55" s="230"/>
      <c r="O55" s="230"/>
      <c r="P55" s="230"/>
      <c r="Q55" s="230"/>
      <c r="R55" s="230"/>
      <c r="S55" s="230"/>
      <c r="T55" s="230"/>
      <c r="U55" s="230"/>
      <c r="V55" s="230"/>
      <c r="W55" s="230"/>
      <c r="X55" s="230"/>
      <c r="Y55" s="230"/>
      <c r="Z55" s="230"/>
      <c r="AA55" s="230"/>
      <c r="AB55" s="230"/>
      <c r="AC55" s="230"/>
      <c r="AD55" s="230"/>
    </row>
    <row r="56" spans="1:30" ht="15">
      <c r="A56" s="696"/>
      <c r="B56" s="719"/>
      <c r="C56" s="691"/>
      <c r="D56" s="691"/>
      <c r="E56" s="691"/>
      <c r="F56" s="691"/>
      <c r="G56" s="696"/>
      <c r="H56" s="696"/>
      <c r="I56" s="696"/>
      <c r="J56" s="10"/>
      <c r="K56" s="230"/>
      <c r="L56" s="230"/>
      <c r="M56" s="230"/>
      <c r="N56" s="230"/>
      <c r="O56" s="230"/>
      <c r="P56" s="230"/>
      <c r="Q56" s="230"/>
      <c r="R56" s="230"/>
      <c r="S56" s="230"/>
      <c r="T56" s="230"/>
      <c r="U56" s="230"/>
      <c r="V56" s="230"/>
      <c r="W56" s="230"/>
      <c r="X56" s="230"/>
      <c r="Y56" s="230"/>
      <c r="Z56" s="230"/>
      <c r="AA56" s="230"/>
      <c r="AB56" s="230"/>
      <c r="AC56" s="230"/>
      <c r="AD56" s="230"/>
    </row>
    <row r="57" spans="1:30" ht="14.25">
      <c r="A57" s="696"/>
      <c r="B57" s="726" t="s">
        <v>835</v>
      </c>
      <c r="C57" s="691"/>
      <c r="D57" s="691"/>
      <c r="E57" s="691"/>
      <c r="F57" s="725"/>
      <c r="G57" s="696"/>
      <c r="H57" s="696"/>
      <c r="I57" s="696"/>
      <c r="J57" s="10"/>
      <c r="K57" s="230"/>
      <c r="L57" s="230"/>
      <c r="M57" s="230"/>
      <c r="N57" s="230"/>
      <c r="O57" s="230"/>
      <c r="P57" s="230"/>
      <c r="Q57" s="230"/>
      <c r="R57" s="230"/>
      <c r="S57" s="230"/>
      <c r="T57" s="230"/>
      <c r="U57" s="230"/>
      <c r="V57" s="230"/>
      <c r="W57" s="230"/>
      <c r="X57" s="230"/>
      <c r="Y57" s="230"/>
      <c r="Z57" s="230"/>
      <c r="AA57" s="230"/>
      <c r="AB57" s="230"/>
      <c r="AC57" s="230"/>
      <c r="AD57" s="230"/>
    </row>
    <row r="58" spans="1:30" ht="21" customHeight="1">
      <c r="A58" s="696"/>
      <c r="B58" s="721" t="s">
        <v>10</v>
      </c>
      <c r="C58" s="722"/>
      <c r="D58" s="722"/>
      <c r="E58" s="722"/>
      <c r="F58" s="723"/>
      <c r="G58" s="727">
        <f>'Business Travel'!D165</f>
        <v>0</v>
      </c>
      <c r="H58" s="696" t="s">
        <v>788</v>
      </c>
      <c r="I58" s="696"/>
      <c r="J58" s="10"/>
      <c r="K58" s="230"/>
      <c r="L58" s="230"/>
      <c r="M58" s="230"/>
      <c r="N58" s="230"/>
      <c r="O58" s="230"/>
      <c r="P58" s="230"/>
      <c r="Q58" s="230"/>
      <c r="R58" s="230"/>
      <c r="S58" s="230"/>
      <c r="T58" s="230"/>
      <c r="U58" s="230"/>
      <c r="V58" s="230"/>
      <c r="W58" s="230"/>
      <c r="X58" s="230"/>
      <c r="Y58" s="230"/>
      <c r="Z58" s="230"/>
      <c r="AA58" s="230"/>
      <c r="AB58" s="230"/>
      <c r="AC58" s="230"/>
      <c r="AD58" s="230"/>
    </row>
    <row r="59" spans="1:30" ht="21" customHeight="1">
      <c r="A59" s="696"/>
      <c r="B59" s="721" t="s">
        <v>152</v>
      </c>
      <c r="C59" s="722"/>
      <c r="D59" s="722"/>
      <c r="E59" s="722"/>
      <c r="F59" s="723"/>
      <c r="G59" s="727">
        <f>Commuting!D121</f>
        <v>0</v>
      </c>
      <c r="H59" s="696" t="s">
        <v>788</v>
      </c>
      <c r="I59" s="696"/>
      <c r="J59" s="10"/>
      <c r="K59" s="230"/>
      <c r="L59" s="230"/>
      <c r="M59" s="230"/>
      <c r="N59" s="230"/>
      <c r="O59" s="230"/>
      <c r="P59" s="230"/>
      <c r="Q59" s="230"/>
      <c r="R59" s="230"/>
      <c r="S59" s="230"/>
      <c r="T59" s="230"/>
      <c r="U59" s="230"/>
      <c r="V59" s="230"/>
      <c r="W59" s="230"/>
      <c r="X59" s="230"/>
      <c r="Y59" s="230"/>
      <c r="Z59" s="230"/>
      <c r="AA59" s="230"/>
      <c r="AB59" s="230"/>
      <c r="AC59" s="230"/>
      <c r="AD59" s="230"/>
    </row>
    <row r="60" spans="1:30" ht="21" customHeight="1">
      <c r="A60" s="696"/>
      <c r="B60" s="721" t="s">
        <v>153</v>
      </c>
      <c r="C60" s="722"/>
      <c r="D60" s="722"/>
      <c r="E60" s="722"/>
      <c r="F60" s="723"/>
      <c r="G60" s="727">
        <f>'Product Transport'!D111</f>
        <v>0</v>
      </c>
      <c r="H60" s="696" t="s">
        <v>788</v>
      </c>
      <c r="I60" s="696"/>
      <c r="J60" s="10"/>
      <c r="K60" s="230"/>
      <c r="L60" s="230"/>
      <c r="M60" s="230"/>
      <c r="N60" s="230"/>
      <c r="O60" s="230"/>
      <c r="P60" s="230"/>
      <c r="Q60" s="230"/>
      <c r="R60" s="230"/>
      <c r="S60" s="230"/>
      <c r="T60" s="230"/>
      <c r="U60" s="230"/>
      <c r="V60" s="230"/>
      <c r="W60" s="230"/>
      <c r="X60" s="230"/>
      <c r="Y60" s="230"/>
      <c r="Z60" s="230"/>
      <c r="AA60" s="230"/>
      <c r="AB60" s="230"/>
      <c r="AC60" s="230"/>
      <c r="AD60" s="230"/>
    </row>
    <row r="61" spans="1:30" ht="21" customHeight="1">
      <c r="B61" s="721" t="s">
        <v>1348</v>
      </c>
      <c r="C61" s="722"/>
      <c r="D61" s="722"/>
      <c r="E61" s="722"/>
      <c r="F61" s="723"/>
      <c r="G61" s="727">
        <f>Waste!D65</f>
        <v>2.9260850000000005</v>
      </c>
      <c r="H61" s="696" t="s">
        <v>788</v>
      </c>
      <c r="I61" s="696"/>
      <c r="J61" s="10"/>
      <c r="K61" s="230"/>
      <c r="L61" s="230"/>
      <c r="M61" s="230"/>
      <c r="N61" s="230"/>
      <c r="O61" s="230"/>
      <c r="P61" s="230"/>
      <c r="Q61" s="230"/>
      <c r="R61" s="230"/>
      <c r="S61" s="230"/>
      <c r="T61" s="230"/>
      <c r="U61" s="230"/>
      <c r="V61" s="230"/>
      <c r="W61" s="230"/>
      <c r="X61" s="230"/>
      <c r="Y61" s="230"/>
      <c r="Z61" s="230"/>
      <c r="AA61" s="230"/>
      <c r="AB61" s="230"/>
      <c r="AC61" s="230"/>
      <c r="AD61" s="230"/>
    </row>
    <row r="62" spans="1:30" ht="14.25">
      <c r="A62" s="696"/>
      <c r="B62" s="691"/>
      <c r="C62" s="691"/>
      <c r="D62" s="691"/>
      <c r="E62" s="691"/>
      <c r="F62" s="725"/>
      <c r="G62" s="696"/>
      <c r="H62" s="696"/>
      <c r="I62" s="696"/>
      <c r="J62" s="10"/>
      <c r="K62" s="230"/>
      <c r="L62" s="230"/>
      <c r="M62" s="230"/>
      <c r="N62" s="230"/>
      <c r="O62" s="230"/>
      <c r="P62" s="230"/>
      <c r="Q62" s="230"/>
      <c r="R62" s="230"/>
      <c r="S62" s="230"/>
      <c r="T62" s="230"/>
      <c r="U62" s="230"/>
      <c r="V62" s="230"/>
      <c r="W62" s="230"/>
      <c r="X62" s="230"/>
      <c r="Y62" s="230"/>
      <c r="Z62" s="230"/>
      <c r="AA62" s="230"/>
      <c r="AB62" s="230"/>
      <c r="AC62" s="230"/>
      <c r="AD62" s="230"/>
    </row>
    <row r="63" spans="1:30" ht="14.25">
      <c r="A63" s="696"/>
      <c r="B63" s="720" t="s">
        <v>267</v>
      </c>
      <c r="C63" s="696"/>
      <c r="D63" s="696"/>
      <c r="E63" s="696"/>
      <c r="F63" s="696"/>
      <c r="G63" s="696"/>
      <c r="H63" s="696"/>
      <c r="I63" s="696"/>
      <c r="J63" s="10"/>
      <c r="K63" s="230"/>
      <c r="L63" s="230"/>
      <c r="M63" s="230"/>
      <c r="N63" s="230"/>
      <c r="O63" s="230"/>
      <c r="P63" s="230"/>
      <c r="Q63" s="230"/>
      <c r="R63" s="230"/>
      <c r="S63" s="230"/>
      <c r="T63" s="230"/>
      <c r="U63" s="230"/>
      <c r="V63" s="230"/>
      <c r="W63" s="230"/>
      <c r="X63" s="230"/>
      <c r="Y63" s="230"/>
      <c r="Z63" s="230"/>
      <c r="AA63" s="230"/>
      <c r="AB63" s="230"/>
      <c r="AC63" s="230"/>
      <c r="AD63" s="230"/>
    </row>
    <row r="64" spans="1:30" ht="21" customHeight="1">
      <c r="A64" s="696"/>
      <c r="B64" s="721" t="s">
        <v>789</v>
      </c>
      <c r="C64" s="722"/>
      <c r="D64" s="722"/>
      <c r="E64" s="722"/>
      <c r="F64" s="723"/>
      <c r="G64" s="724">
        <f>'Stationary Combustion'!E97</f>
        <v>0</v>
      </c>
      <c r="H64" s="696" t="s">
        <v>788</v>
      </c>
      <c r="I64" s="696"/>
      <c r="J64" s="10"/>
      <c r="K64" s="230"/>
      <c r="L64" s="230"/>
      <c r="M64" s="230"/>
      <c r="N64" s="230"/>
      <c r="O64" s="230"/>
      <c r="P64" s="230"/>
      <c r="Q64" s="230"/>
      <c r="R64" s="230"/>
      <c r="S64" s="230"/>
      <c r="T64" s="230"/>
      <c r="U64" s="230"/>
      <c r="V64" s="230"/>
      <c r="W64" s="230"/>
      <c r="X64" s="230"/>
      <c r="Y64" s="230"/>
      <c r="Z64" s="230"/>
      <c r="AA64" s="230"/>
      <c r="AB64" s="230"/>
      <c r="AC64" s="230"/>
      <c r="AD64" s="230"/>
    </row>
    <row r="65" spans="1:30" ht="21" customHeight="1">
      <c r="A65" s="696"/>
      <c r="B65" s="721" t="s">
        <v>790</v>
      </c>
      <c r="C65" s="722"/>
      <c r="D65" s="722"/>
      <c r="E65" s="722"/>
      <c r="F65" s="723"/>
      <c r="G65" s="724">
        <f>'Mobile Sources'!E220</f>
        <v>0</v>
      </c>
      <c r="H65" s="696" t="s">
        <v>788</v>
      </c>
      <c r="I65" s="696"/>
      <c r="J65" s="10"/>
      <c r="K65" s="230"/>
      <c r="L65" s="230"/>
      <c r="M65" s="230"/>
      <c r="N65" s="230"/>
      <c r="O65" s="230"/>
      <c r="P65" s="230"/>
      <c r="Q65" s="230"/>
      <c r="R65" s="230"/>
      <c r="S65" s="230"/>
      <c r="T65" s="230"/>
      <c r="U65" s="230"/>
      <c r="V65" s="230"/>
      <c r="W65" s="230"/>
      <c r="X65" s="230"/>
      <c r="Y65" s="230"/>
      <c r="Z65" s="230"/>
      <c r="AA65" s="230"/>
      <c r="AB65" s="230"/>
      <c r="AC65" s="230"/>
      <c r="AD65" s="230"/>
    </row>
    <row r="66" spans="1:30">
      <c r="A66" s="10"/>
      <c r="B66" s="10"/>
      <c r="C66" s="10"/>
      <c r="D66" s="10"/>
      <c r="E66" s="10"/>
      <c r="F66" s="10"/>
      <c r="G66" s="10"/>
      <c r="H66" s="10"/>
      <c r="I66" s="10"/>
      <c r="J66" s="10"/>
      <c r="K66" s="230"/>
      <c r="L66" s="230"/>
      <c r="M66" s="230"/>
      <c r="N66" s="230"/>
      <c r="O66" s="230"/>
      <c r="P66" s="230"/>
      <c r="Q66" s="230"/>
      <c r="R66" s="230"/>
      <c r="S66" s="230"/>
      <c r="T66" s="230"/>
      <c r="U66" s="230"/>
      <c r="V66" s="230"/>
      <c r="W66" s="230"/>
      <c r="X66" s="230"/>
      <c r="Y66" s="230"/>
      <c r="Z66" s="230"/>
      <c r="AA66" s="230"/>
      <c r="AB66" s="230"/>
      <c r="AC66" s="230"/>
      <c r="AD66" s="230"/>
    </row>
    <row r="67" spans="1:30">
      <c r="A67" s="10"/>
      <c r="B67" s="10"/>
      <c r="C67" s="10"/>
      <c r="D67" s="10"/>
      <c r="E67" s="10"/>
      <c r="F67" s="10"/>
      <c r="G67" s="10"/>
      <c r="H67" s="10"/>
      <c r="I67" s="10"/>
      <c r="J67" s="10"/>
      <c r="K67" s="230"/>
      <c r="L67" s="230"/>
      <c r="M67" s="230"/>
      <c r="N67" s="230"/>
      <c r="O67" s="230"/>
      <c r="P67" s="230"/>
      <c r="Q67" s="230"/>
      <c r="R67" s="230"/>
      <c r="S67" s="230"/>
      <c r="T67" s="230"/>
      <c r="U67" s="230"/>
      <c r="V67" s="230"/>
      <c r="W67" s="230"/>
      <c r="X67" s="230"/>
      <c r="Y67" s="230"/>
      <c r="Z67" s="230"/>
      <c r="AA67" s="230"/>
      <c r="AB67" s="230"/>
      <c r="AC67" s="230"/>
      <c r="AD67" s="230"/>
    </row>
    <row r="68" spans="1:30">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row r="200" spans="1:30">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row>
    <row r="201" spans="1:30">
      <c r="A201" s="230"/>
      <c r="B201" s="230"/>
      <c r="C201" s="230"/>
      <c r="D201" s="230"/>
      <c r="E201" s="230"/>
      <c r="F201" s="230"/>
      <c r="G201" s="230"/>
      <c r="H201" s="230"/>
      <c r="I201" s="230"/>
      <c r="J201" s="230"/>
      <c r="K201" s="230"/>
      <c r="L201" s="230"/>
      <c r="M201" s="230"/>
      <c r="N201" s="230"/>
      <c r="O201" s="230"/>
      <c r="P201" s="230"/>
      <c r="Q201" s="230"/>
      <c r="R201" s="230"/>
      <c r="S201" s="230"/>
      <c r="T201" s="230"/>
      <c r="U201" s="230"/>
      <c r="V201" s="230"/>
      <c r="W201" s="230"/>
      <c r="X201" s="230"/>
      <c r="Y201" s="230"/>
      <c r="Z201" s="230"/>
      <c r="AA201" s="230"/>
      <c r="AB201" s="230"/>
      <c r="AC201" s="230"/>
      <c r="AD201" s="230"/>
    </row>
    <row r="202" spans="1:30">
      <c r="A202" s="230"/>
      <c r="B202" s="230"/>
      <c r="C202" s="230"/>
      <c r="D202" s="230"/>
      <c r="E202" s="230"/>
      <c r="F202" s="230"/>
      <c r="G202" s="230"/>
      <c r="H202" s="230"/>
      <c r="I202" s="230"/>
      <c r="J202" s="230"/>
      <c r="K202" s="230"/>
      <c r="L202" s="230"/>
      <c r="M202" s="230"/>
      <c r="N202" s="230"/>
      <c r="O202" s="230"/>
      <c r="P202" s="230"/>
      <c r="Q202" s="230"/>
      <c r="R202" s="230"/>
      <c r="S202" s="230"/>
      <c r="T202" s="230"/>
      <c r="U202" s="230"/>
      <c r="V202" s="230"/>
      <c r="W202" s="230"/>
      <c r="X202" s="230"/>
      <c r="Y202" s="230"/>
      <c r="Z202" s="230"/>
      <c r="AA202" s="230"/>
      <c r="AB202" s="230"/>
      <c r="AC202" s="230"/>
      <c r="AD202" s="230"/>
    </row>
    <row r="203" spans="1:30">
      <c r="A203" s="230"/>
      <c r="B203" s="230"/>
      <c r="C203" s="230"/>
      <c r="D203" s="230"/>
      <c r="E203" s="230"/>
      <c r="F203" s="230"/>
      <c r="G203" s="230"/>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row>
    <row r="204" spans="1:30">
      <c r="A204" s="230"/>
      <c r="B204" s="230"/>
      <c r="C204" s="230"/>
      <c r="D204" s="230"/>
      <c r="E204" s="230"/>
      <c r="F204" s="230"/>
      <c r="G204" s="230"/>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row>
    <row r="205" spans="1:30">
      <c r="A205" s="230"/>
      <c r="B205" s="230"/>
      <c r="C205" s="230"/>
      <c r="D205" s="230"/>
      <c r="E205" s="230"/>
      <c r="F205" s="230"/>
      <c r="G205" s="230"/>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row>
    <row r="206" spans="1:30">
      <c r="A206" s="230"/>
      <c r="B206" s="230"/>
      <c r="C206" s="230"/>
      <c r="D206" s="230"/>
      <c r="E206" s="230"/>
      <c r="F206" s="230"/>
      <c r="G206" s="230"/>
      <c r="H206" s="230"/>
      <c r="I206" s="230"/>
      <c r="J206" s="230"/>
      <c r="K206" s="230"/>
      <c r="L206" s="230"/>
      <c r="M206" s="230"/>
      <c r="N206" s="230"/>
      <c r="O206" s="230"/>
      <c r="P206" s="230"/>
      <c r="Q206" s="230"/>
      <c r="R206" s="230"/>
      <c r="S206" s="230"/>
      <c r="T206" s="230"/>
      <c r="U206" s="230"/>
      <c r="V206" s="230"/>
      <c r="W206" s="230"/>
      <c r="X206" s="230"/>
      <c r="Y206" s="230"/>
      <c r="Z206" s="230"/>
      <c r="AA206" s="230"/>
      <c r="AB206" s="230"/>
      <c r="AC206" s="230"/>
      <c r="AD206" s="230"/>
    </row>
    <row r="207" spans="1:30">
      <c r="A207" s="230"/>
      <c r="B207" s="230"/>
      <c r="C207" s="230"/>
      <c r="D207" s="230"/>
      <c r="E207" s="230"/>
      <c r="F207" s="230"/>
      <c r="G207" s="230"/>
      <c r="H207" s="230"/>
      <c r="I207" s="230"/>
      <c r="J207" s="230"/>
      <c r="K207" s="230"/>
      <c r="L207" s="230"/>
      <c r="M207" s="230"/>
      <c r="N207" s="230"/>
      <c r="O207" s="230"/>
      <c r="P207" s="230"/>
      <c r="Q207" s="230"/>
      <c r="R207" s="230"/>
      <c r="S207" s="230"/>
      <c r="T207" s="230"/>
      <c r="U207" s="230"/>
      <c r="V207" s="230"/>
      <c r="W207" s="230"/>
      <c r="X207" s="230"/>
      <c r="Y207" s="230"/>
      <c r="Z207" s="230"/>
      <c r="AA207" s="230"/>
      <c r="AB207" s="230"/>
      <c r="AC207" s="230"/>
      <c r="AD207" s="230"/>
    </row>
  </sheetData>
  <sheetProtection sheet="1"/>
  <mergeCells count="14">
    <mergeCell ref="A6:I6"/>
    <mergeCell ref="A14:I14"/>
    <mergeCell ref="E28:I28"/>
    <mergeCell ref="E19:I19"/>
    <mergeCell ref="E21:I21"/>
    <mergeCell ref="E18:I18"/>
    <mergeCell ref="E20:I20"/>
    <mergeCell ref="E23:I23"/>
    <mergeCell ref="E26:I26"/>
    <mergeCell ref="E27:I27"/>
    <mergeCell ref="H24:I24"/>
    <mergeCell ref="A8:I9"/>
    <mergeCell ref="A10:I12"/>
    <mergeCell ref="A7:I7"/>
  </mergeCells>
  <phoneticPr fontId="12" type="noConversion"/>
  <hyperlinks>
    <hyperlink ref="A7" r:id="rId1" xr:uid="{00000000-0004-0000-0200-000000000000}"/>
  </hyperlinks>
  <pageMargins left="0.25" right="0.25" top="0.25" bottom="0.5" header="0.5" footer="0.25"/>
  <pageSetup scale="87" orientation="portrait" r:id="rId2"/>
  <headerFooter alignWithMargins="0">
    <oddFooter>&amp;L&amp;"Arial,Italic"&amp;9EPA Climate Leaders Simplified GHG Emissions Calculator (Summary)&amp;R&amp;"Arial,Italic"&amp;9&amp;P of &amp;N</oddFooter>
  </headerFooter>
  <rowBreaks count="1" manualBreakCount="1">
    <brk id="50" max="16383" man="1"/>
  </rowBreaks>
  <colBreaks count="1" manualBreakCount="1">
    <brk id="9" max="1048575" man="1"/>
  </colBreaks>
  <drawing r:id="rId3"/>
  <legacyDrawing r:id="rId4"/>
  <controls>
    <mc:AlternateContent xmlns:mc="http://schemas.openxmlformats.org/markup-compatibility/2006">
      <mc:Choice Requires="x14">
        <control shapeId="9274" r:id="rId5" name="Stationary">
          <controlPr defaultSize="0" autoLine="0" r:id="rId6">
            <anchor moveWithCells="1" sizeWithCells="1">
              <from>
                <xdr:col>0</xdr:col>
                <xdr:colOff>0</xdr:colOff>
                <xdr:row>32</xdr:row>
                <xdr:rowOff>0</xdr:rowOff>
              </from>
              <to>
                <xdr:col>1</xdr:col>
                <xdr:colOff>0</xdr:colOff>
                <xdr:row>33</xdr:row>
                <xdr:rowOff>0</xdr:rowOff>
              </to>
            </anchor>
          </controlPr>
        </control>
      </mc:Choice>
      <mc:Fallback>
        <control shapeId="9274" r:id="rId5" name="Stationary"/>
      </mc:Fallback>
    </mc:AlternateContent>
    <mc:AlternateContent xmlns:mc="http://schemas.openxmlformats.org/markup-compatibility/2006">
      <mc:Choice Requires="x14">
        <control shapeId="9277" r:id="rId7" name="Mobile">
          <controlPr defaultSize="0" autoLine="0" r:id="rId8">
            <anchor moveWithCells="1">
              <from>
                <xdr:col>0</xdr:col>
                <xdr:colOff>0</xdr:colOff>
                <xdr:row>33</xdr:row>
                <xdr:rowOff>9525</xdr:rowOff>
              </from>
              <to>
                <xdr:col>1</xdr:col>
                <xdr:colOff>0</xdr:colOff>
                <xdr:row>34</xdr:row>
                <xdr:rowOff>9525</xdr:rowOff>
              </to>
            </anchor>
          </controlPr>
        </control>
      </mc:Choice>
      <mc:Fallback>
        <control shapeId="9277" r:id="rId7" name="Mobile"/>
      </mc:Fallback>
    </mc:AlternateContent>
    <mc:AlternateContent xmlns:mc="http://schemas.openxmlformats.org/markup-compatibility/2006">
      <mc:Choice Requires="x14">
        <control shapeId="9278" r:id="rId9" name="Refrigeration">
          <controlPr defaultSize="0" autoLine="0" r:id="rId10">
            <anchor moveWithCells="1">
              <from>
                <xdr:col>0</xdr:col>
                <xdr:colOff>0</xdr:colOff>
                <xdr:row>34</xdr:row>
                <xdr:rowOff>9525</xdr:rowOff>
              </from>
              <to>
                <xdr:col>1</xdr:col>
                <xdr:colOff>0</xdr:colOff>
                <xdr:row>35</xdr:row>
                <xdr:rowOff>9525</xdr:rowOff>
              </to>
            </anchor>
          </controlPr>
        </control>
      </mc:Choice>
      <mc:Fallback>
        <control shapeId="9278" r:id="rId9" name="Refrigeration"/>
      </mc:Fallback>
    </mc:AlternateContent>
    <mc:AlternateContent xmlns:mc="http://schemas.openxmlformats.org/markup-compatibility/2006">
      <mc:Choice Requires="x14">
        <control shapeId="9281" r:id="rId11" name="FireSuppression">
          <controlPr defaultSize="0" autoLine="0" r:id="rId12">
            <anchor moveWithCells="1">
              <from>
                <xdr:col>0</xdr:col>
                <xdr:colOff>0</xdr:colOff>
                <xdr:row>35</xdr:row>
                <xdr:rowOff>9525</xdr:rowOff>
              </from>
              <to>
                <xdr:col>1</xdr:col>
                <xdr:colOff>0</xdr:colOff>
                <xdr:row>36</xdr:row>
                <xdr:rowOff>9525</xdr:rowOff>
              </to>
            </anchor>
          </controlPr>
        </control>
      </mc:Choice>
      <mc:Fallback>
        <control shapeId="9281" r:id="rId11" name="FireSuppression"/>
      </mc:Fallback>
    </mc:AlternateContent>
    <mc:AlternateContent xmlns:mc="http://schemas.openxmlformats.org/markup-compatibility/2006">
      <mc:Choice Requires="x14">
        <control shapeId="9282" r:id="rId13" name="CommandButton4">
          <controlPr defaultSize="0" autoLine="0" r:id="rId14">
            <anchor moveWithCells="1">
              <from>
                <xdr:col>0</xdr:col>
                <xdr:colOff>0</xdr:colOff>
                <xdr:row>39</xdr:row>
                <xdr:rowOff>0</xdr:rowOff>
              </from>
              <to>
                <xdr:col>1</xdr:col>
                <xdr:colOff>0</xdr:colOff>
                <xdr:row>39</xdr:row>
                <xdr:rowOff>247650</xdr:rowOff>
              </to>
            </anchor>
          </controlPr>
        </control>
      </mc:Choice>
      <mc:Fallback>
        <control shapeId="9282" r:id="rId13" name="CommandButton4"/>
      </mc:Fallback>
    </mc:AlternateContent>
    <mc:AlternateContent xmlns:mc="http://schemas.openxmlformats.org/markup-compatibility/2006">
      <mc:Choice Requires="x14">
        <control shapeId="9283" r:id="rId15" name="CommandButton6">
          <controlPr defaultSize="0" autoLine="0" r:id="rId16">
            <anchor moveWithCells="1">
              <from>
                <xdr:col>0</xdr:col>
                <xdr:colOff>0</xdr:colOff>
                <xdr:row>39</xdr:row>
                <xdr:rowOff>257175</xdr:rowOff>
              </from>
              <to>
                <xdr:col>1</xdr:col>
                <xdr:colOff>0</xdr:colOff>
                <xdr:row>40</xdr:row>
                <xdr:rowOff>257175</xdr:rowOff>
              </to>
            </anchor>
          </controlPr>
        </control>
      </mc:Choice>
      <mc:Fallback>
        <control shapeId="9283" r:id="rId15" name="CommandButton6"/>
      </mc:Fallback>
    </mc:AlternateContent>
    <mc:AlternateContent xmlns:mc="http://schemas.openxmlformats.org/markup-compatibility/2006">
      <mc:Choice Requires="x14">
        <control shapeId="9286" r:id="rId17" name="BizTravel">
          <controlPr defaultSize="0" autoLine="0" r:id="rId18">
            <anchor moveWithCells="1">
              <from>
                <xdr:col>0</xdr:col>
                <xdr:colOff>0</xdr:colOff>
                <xdr:row>57</xdr:row>
                <xdr:rowOff>0</xdr:rowOff>
              </from>
              <to>
                <xdr:col>1</xdr:col>
                <xdr:colOff>0</xdr:colOff>
                <xdr:row>58</xdr:row>
                <xdr:rowOff>0</xdr:rowOff>
              </to>
            </anchor>
          </controlPr>
        </control>
      </mc:Choice>
      <mc:Fallback>
        <control shapeId="9286" r:id="rId17" name="BizTravel"/>
      </mc:Fallback>
    </mc:AlternateContent>
    <mc:AlternateContent xmlns:mc="http://schemas.openxmlformats.org/markup-compatibility/2006">
      <mc:Choice Requires="x14">
        <control shapeId="9287" r:id="rId19" name="CommandButton10">
          <controlPr defaultSize="0" autoLine="0" r:id="rId20">
            <anchor moveWithCells="1">
              <from>
                <xdr:col>0</xdr:col>
                <xdr:colOff>0</xdr:colOff>
                <xdr:row>51</xdr:row>
                <xdr:rowOff>0</xdr:rowOff>
              </from>
              <to>
                <xdr:col>1</xdr:col>
                <xdr:colOff>0</xdr:colOff>
                <xdr:row>52</xdr:row>
                <xdr:rowOff>0</xdr:rowOff>
              </to>
            </anchor>
          </controlPr>
        </control>
      </mc:Choice>
      <mc:Fallback>
        <control shapeId="9287" r:id="rId19" name="CommandButton10"/>
      </mc:Fallback>
    </mc:AlternateContent>
    <mc:AlternateContent xmlns:mc="http://schemas.openxmlformats.org/markup-compatibility/2006">
      <mc:Choice Requires="x14">
        <control shapeId="9288" r:id="rId21" name="Offsets">
          <controlPr defaultSize="0" autoLine="0" r:id="rId22">
            <anchor moveWithCells="1">
              <from>
                <xdr:col>0</xdr:col>
                <xdr:colOff>0</xdr:colOff>
                <xdr:row>51</xdr:row>
                <xdr:rowOff>9525</xdr:rowOff>
              </from>
              <to>
                <xdr:col>1</xdr:col>
                <xdr:colOff>0</xdr:colOff>
                <xdr:row>52</xdr:row>
                <xdr:rowOff>9525</xdr:rowOff>
              </to>
            </anchor>
          </controlPr>
        </control>
      </mc:Choice>
      <mc:Fallback>
        <control shapeId="9288" r:id="rId21" name="Offsets"/>
      </mc:Fallback>
    </mc:AlternateContent>
    <mc:AlternateContent xmlns:mc="http://schemas.openxmlformats.org/markup-compatibility/2006">
      <mc:Choice Requires="x14">
        <control shapeId="9465" r:id="rId23" name="CommandButton12">
          <controlPr autoLine="0" r:id="rId24">
            <anchor moveWithCells="1" sizeWithCells="1">
              <from>
                <xdr:col>0</xdr:col>
                <xdr:colOff>714375</xdr:colOff>
                <xdr:row>0</xdr:row>
                <xdr:rowOff>142875</xdr:rowOff>
              </from>
              <to>
                <xdr:col>1</xdr:col>
                <xdr:colOff>476250</xdr:colOff>
                <xdr:row>1</xdr:row>
                <xdr:rowOff>142875</xdr:rowOff>
              </to>
            </anchor>
          </controlPr>
        </control>
      </mc:Choice>
      <mc:Fallback>
        <control shapeId="9465" r:id="rId23" name="CommandButton12"/>
      </mc:Fallback>
    </mc:AlternateContent>
    <mc:AlternateContent xmlns:mc="http://schemas.openxmlformats.org/markup-compatibility/2006">
      <mc:Choice Requires="x14">
        <control shapeId="9749" r:id="rId25" name="PurchasedGases">
          <controlPr defaultSize="0" autoLine="0" r:id="rId26">
            <anchor moveWithCells="1">
              <from>
                <xdr:col>0</xdr:col>
                <xdr:colOff>0</xdr:colOff>
                <xdr:row>36</xdr:row>
                <xdr:rowOff>9525</xdr:rowOff>
              </from>
              <to>
                <xdr:col>1</xdr:col>
                <xdr:colOff>0</xdr:colOff>
                <xdr:row>37</xdr:row>
                <xdr:rowOff>9525</xdr:rowOff>
              </to>
            </anchor>
          </controlPr>
        </control>
      </mc:Choice>
      <mc:Fallback>
        <control shapeId="9749" r:id="rId25" name="PurchasedGases"/>
      </mc:Fallback>
    </mc:AlternateContent>
    <mc:AlternateContent xmlns:mc="http://schemas.openxmlformats.org/markup-compatibility/2006">
      <mc:Choice Requires="x14">
        <control shapeId="10092" r:id="rId27" name="Electricity">
          <controlPr defaultSize="0" autoLine="0" r:id="rId28">
            <anchor moveWithCells="1">
              <from>
                <xdr:col>0</xdr:col>
                <xdr:colOff>0</xdr:colOff>
                <xdr:row>43</xdr:row>
                <xdr:rowOff>0</xdr:rowOff>
              </from>
              <to>
                <xdr:col>1</xdr:col>
                <xdr:colOff>0</xdr:colOff>
                <xdr:row>43</xdr:row>
                <xdr:rowOff>257175</xdr:rowOff>
              </to>
            </anchor>
          </controlPr>
        </control>
      </mc:Choice>
      <mc:Fallback>
        <control shapeId="10092" r:id="rId27" name="Electricity"/>
      </mc:Fallback>
    </mc:AlternateContent>
    <mc:AlternateContent xmlns:mc="http://schemas.openxmlformats.org/markup-compatibility/2006">
      <mc:Choice Requires="x14">
        <control shapeId="10093" r:id="rId29" name="Steam">
          <controlPr defaultSize="0" autoLine="0" r:id="rId30">
            <anchor moveWithCells="1">
              <from>
                <xdr:col>0</xdr:col>
                <xdr:colOff>0</xdr:colOff>
                <xdr:row>43</xdr:row>
                <xdr:rowOff>247650</xdr:rowOff>
              </from>
              <to>
                <xdr:col>1</xdr:col>
                <xdr:colOff>0</xdr:colOff>
                <xdr:row>44</xdr:row>
                <xdr:rowOff>247650</xdr:rowOff>
              </to>
            </anchor>
          </controlPr>
        </control>
      </mc:Choice>
      <mc:Fallback>
        <control shapeId="10093" r:id="rId29" name="Steam"/>
      </mc:Fallback>
    </mc:AlternateContent>
    <mc:AlternateContent xmlns:mc="http://schemas.openxmlformats.org/markup-compatibility/2006">
      <mc:Choice Requires="x14">
        <control shapeId="10094" r:id="rId31" name="Commuting">
          <controlPr defaultSize="0" autoLine="0" r:id="rId32">
            <anchor moveWithCells="1">
              <from>
                <xdr:col>0</xdr:col>
                <xdr:colOff>0</xdr:colOff>
                <xdr:row>58</xdr:row>
                <xdr:rowOff>9525</xdr:rowOff>
              </from>
              <to>
                <xdr:col>1</xdr:col>
                <xdr:colOff>0</xdr:colOff>
                <xdr:row>59</xdr:row>
                <xdr:rowOff>9525</xdr:rowOff>
              </to>
            </anchor>
          </controlPr>
        </control>
      </mc:Choice>
      <mc:Fallback>
        <control shapeId="10094" r:id="rId31" name="Commuting"/>
      </mc:Fallback>
    </mc:AlternateContent>
    <mc:AlternateContent xmlns:mc="http://schemas.openxmlformats.org/markup-compatibility/2006">
      <mc:Choice Requires="x14">
        <control shapeId="10095" r:id="rId33" name="ProdTransport">
          <controlPr defaultSize="0" autoLine="0" r:id="rId34">
            <anchor moveWithCells="1">
              <from>
                <xdr:col>0</xdr:col>
                <xdr:colOff>0</xdr:colOff>
                <xdr:row>59</xdr:row>
                <xdr:rowOff>19050</xdr:rowOff>
              </from>
              <to>
                <xdr:col>1</xdr:col>
                <xdr:colOff>0</xdr:colOff>
                <xdr:row>60</xdr:row>
                <xdr:rowOff>19050</xdr:rowOff>
              </to>
            </anchor>
          </controlPr>
        </control>
      </mc:Choice>
      <mc:Fallback>
        <control shapeId="10095" r:id="rId33" name="ProdTransport"/>
      </mc:Fallback>
    </mc:AlternateContent>
    <mc:AlternateContent xmlns:mc="http://schemas.openxmlformats.org/markup-compatibility/2006">
      <mc:Choice Requires="x14">
        <control shapeId="10096" r:id="rId35" name="CommandButton1">
          <controlPr defaultSize="0" autoLine="0" r:id="rId36">
            <anchor moveWithCells="1">
              <from>
                <xdr:col>0</xdr:col>
                <xdr:colOff>0</xdr:colOff>
                <xdr:row>63</xdr:row>
                <xdr:rowOff>9525</xdr:rowOff>
              </from>
              <to>
                <xdr:col>1</xdr:col>
                <xdr:colOff>0</xdr:colOff>
                <xdr:row>64</xdr:row>
                <xdr:rowOff>9525</xdr:rowOff>
              </to>
            </anchor>
          </controlPr>
        </control>
      </mc:Choice>
      <mc:Fallback>
        <control shapeId="10096" r:id="rId35" name="CommandButton1"/>
      </mc:Fallback>
    </mc:AlternateContent>
    <mc:AlternateContent xmlns:mc="http://schemas.openxmlformats.org/markup-compatibility/2006">
      <mc:Choice Requires="x14">
        <control shapeId="10097" r:id="rId37" name="CommandButton2">
          <controlPr defaultSize="0" autoLine="0" r:id="rId38">
            <anchor moveWithCells="1">
              <from>
                <xdr:col>0</xdr:col>
                <xdr:colOff>0</xdr:colOff>
                <xdr:row>64</xdr:row>
                <xdr:rowOff>0</xdr:rowOff>
              </from>
              <to>
                <xdr:col>1</xdr:col>
                <xdr:colOff>0</xdr:colOff>
                <xdr:row>65</xdr:row>
                <xdr:rowOff>0</xdr:rowOff>
              </to>
            </anchor>
          </controlPr>
        </control>
      </mc:Choice>
      <mc:Fallback>
        <control shapeId="10097" r:id="rId37" name="CommandButton2"/>
      </mc:Fallback>
    </mc:AlternateContent>
    <mc:AlternateContent xmlns:mc="http://schemas.openxmlformats.org/markup-compatibility/2006">
      <mc:Choice Requires="x14">
        <control shapeId="10098" r:id="rId39" name="CommandButton3">
          <controlPr defaultSize="0" autoLine="0" r:id="rId40">
            <anchor moveWithCells="1">
              <from>
                <xdr:col>0</xdr:col>
                <xdr:colOff>9525</xdr:colOff>
                <xdr:row>60</xdr:row>
                <xdr:rowOff>19050</xdr:rowOff>
              </from>
              <to>
                <xdr:col>1</xdr:col>
                <xdr:colOff>9525</xdr:colOff>
                <xdr:row>61</xdr:row>
                <xdr:rowOff>19050</xdr:rowOff>
              </to>
            </anchor>
          </controlPr>
        </control>
      </mc:Choice>
      <mc:Fallback>
        <control shapeId="10098" r:id="rId39" name="CommandButton3"/>
      </mc:Fallback>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CG74"/>
  <sheetViews>
    <sheetView workbookViewId="0"/>
  </sheetViews>
  <sheetFormatPr defaultColWidth="11.5703125" defaultRowHeight="12.75"/>
  <sheetData>
    <row r="1" spans="1:85">
      <c r="A1" s="1" t="s">
        <v>334</v>
      </c>
      <c r="B1" s="1" t="s">
        <v>380</v>
      </c>
      <c r="C1" s="1" t="s">
        <v>314</v>
      </c>
      <c r="D1" s="94" t="s">
        <v>145</v>
      </c>
      <c r="E1" s="94" t="s">
        <v>301</v>
      </c>
      <c r="F1" s="94" t="s">
        <v>21</v>
      </c>
      <c r="G1" s="199" t="s">
        <v>292</v>
      </c>
      <c r="H1" s="94" t="s">
        <v>293</v>
      </c>
      <c r="I1" s="94" t="s">
        <v>550</v>
      </c>
      <c r="J1" s="94" t="s">
        <v>487</v>
      </c>
      <c r="K1" s="94" t="s">
        <v>294</v>
      </c>
      <c r="L1" s="94" t="s">
        <v>348</v>
      </c>
      <c r="M1" s="94" t="s">
        <v>347</v>
      </c>
      <c r="N1" s="94" t="s">
        <v>349</v>
      </c>
      <c r="O1" s="94" t="s">
        <v>321</v>
      </c>
      <c r="P1" s="94" t="s">
        <v>341</v>
      </c>
      <c r="Q1" s="1" t="s">
        <v>164</v>
      </c>
      <c r="R1" s="94" t="s">
        <v>171</v>
      </c>
      <c r="S1" s="94" t="s">
        <v>31</v>
      </c>
      <c r="T1" s="94" t="s">
        <v>1151</v>
      </c>
      <c r="U1" s="94" t="s">
        <v>1152</v>
      </c>
      <c r="V1" s="94" t="s">
        <v>1210</v>
      </c>
      <c r="W1" s="94" t="s">
        <v>1274</v>
      </c>
      <c r="X1" s="94" t="s">
        <v>154</v>
      </c>
      <c r="Y1" s="94"/>
      <c r="Z1" s="1100" t="s">
        <v>1214</v>
      </c>
      <c r="AA1" s="1100" t="s">
        <v>1215</v>
      </c>
      <c r="AB1" s="1100" t="s">
        <v>1216</v>
      </c>
      <c r="AC1" s="1100" t="s">
        <v>1217</v>
      </c>
      <c r="AD1" s="1100" t="s">
        <v>1218</v>
      </c>
      <c r="AE1" s="1100" t="s">
        <v>1219</v>
      </c>
      <c r="AF1" s="1100" t="s">
        <v>1220</v>
      </c>
      <c r="AG1" s="1100" t="s">
        <v>1221</v>
      </c>
      <c r="AH1" s="1100" t="s">
        <v>1222</v>
      </c>
      <c r="AI1" s="1100" t="s">
        <v>1223</v>
      </c>
      <c r="AJ1" s="1100" t="s">
        <v>1224</v>
      </c>
      <c r="AK1" s="1100" t="s">
        <v>1225</v>
      </c>
      <c r="AL1" s="1100" t="s">
        <v>1226</v>
      </c>
      <c r="AM1" s="1100" t="s">
        <v>1227</v>
      </c>
      <c r="AN1" s="1100" t="s">
        <v>1358</v>
      </c>
      <c r="AO1" s="1100" t="s">
        <v>1229</v>
      </c>
      <c r="AP1" s="1100" t="s">
        <v>1230</v>
      </c>
      <c r="AQ1" s="1100" t="s">
        <v>1231</v>
      </c>
      <c r="AR1" s="1100" t="s">
        <v>1232</v>
      </c>
      <c r="AS1" s="1100" t="s">
        <v>1233</v>
      </c>
      <c r="AT1" s="1100" t="s">
        <v>1357</v>
      </c>
      <c r="AU1" s="1100" t="s">
        <v>1356</v>
      </c>
      <c r="AV1" s="1100" t="s">
        <v>1351</v>
      </c>
      <c r="AW1" s="1100" t="s">
        <v>1237</v>
      </c>
      <c r="AX1" s="1100" t="s">
        <v>1238</v>
      </c>
      <c r="AY1" s="1100" t="s">
        <v>1239</v>
      </c>
      <c r="AZ1" s="1100" t="s">
        <v>1240</v>
      </c>
      <c r="BA1" s="1100" t="s">
        <v>1241</v>
      </c>
      <c r="BB1" s="1100" t="s">
        <v>1242</v>
      </c>
      <c r="BC1" s="1100" t="s">
        <v>1243</v>
      </c>
      <c r="BD1" s="1100" t="s">
        <v>1244</v>
      </c>
      <c r="BE1" s="1100" t="s">
        <v>1245</v>
      </c>
      <c r="BF1" s="1100" t="s">
        <v>1246</v>
      </c>
      <c r="BG1" s="1100" t="s">
        <v>1349</v>
      </c>
      <c r="BH1" s="1100" t="s">
        <v>1352</v>
      </c>
      <c r="BI1" s="1100" t="s">
        <v>1353</v>
      </c>
      <c r="BJ1" s="1100" t="s">
        <v>1250</v>
      </c>
      <c r="BK1" s="1100" t="s">
        <v>1251</v>
      </c>
      <c r="BL1" s="1100" t="s">
        <v>1252</v>
      </c>
      <c r="BM1" s="1100" t="s">
        <v>1253</v>
      </c>
      <c r="BN1" s="1100" t="s">
        <v>1254</v>
      </c>
      <c r="BO1" s="1100" t="s">
        <v>1354</v>
      </c>
      <c r="BP1" s="1100" t="s">
        <v>1256</v>
      </c>
      <c r="BQ1" s="1100" t="s">
        <v>1257</v>
      </c>
      <c r="BR1" s="1100" t="s">
        <v>1258</v>
      </c>
      <c r="BS1" s="1100" t="s">
        <v>1355</v>
      </c>
      <c r="BT1" s="1100" t="s">
        <v>1260</v>
      </c>
      <c r="BU1" s="1100" t="s">
        <v>1261</v>
      </c>
      <c r="BV1" s="1100" t="s">
        <v>1359</v>
      </c>
      <c r="BW1" s="1100" t="s">
        <v>1263</v>
      </c>
      <c r="BX1" s="1100" t="s">
        <v>1264</v>
      </c>
      <c r="BY1" s="1100" t="s">
        <v>1265</v>
      </c>
      <c r="BZ1" s="1100" t="s">
        <v>1266</v>
      </c>
      <c r="CA1" s="1100" t="s">
        <v>1267</v>
      </c>
      <c r="CB1" s="1100" t="s">
        <v>1268</v>
      </c>
      <c r="CC1" s="1100" t="s">
        <v>1269</v>
      </c>
      <c r="CD1" s="1100" t="s">
        <v>1270</v>
      </c>
      <c r="CE1" s="1100" t="s">
        <v>1271</v>
      </c>
      <c r="CF1" s="1100" t="s">
        <v>1272</v>
      </c>
      <c r="CG1" s="1100" t="s">
        <v>1273</v>
      </c>
    </row>
    <row r="2" spans="1:85" ht="15.75">
      <c r="A2" s="276" t="s">
        <v>148</v>
      </c>
      <c r="B2" s="276" t="s">
        <v>712</v>
      </c>
      <c r="C2" s="276" t="s">
        <v>176</v>
      </c>
      <c r="D2" t="s">
        <v>1302</v>
      </c>
      <c r="E2" s="7" t="s">
        <v>122</v>
      </c>
      <c r="F2" s="2" t="s">
        <v>22</v>
      </c>
      <c r="G2" s="2" t="s">
        <v>37</v>
      </c>
      <c r="H2" s="2" t="s">
        <v>201</v>
      </c>
      <c r="I2" s="300" t="s">
        <v>201</v>
      </c>
      <c r="J2" s="2" t="str">
        <f>'Emission Factors'!A271</f>
        <v>AKGD (ASCC Alaska Grid)</v>
      </c>
      <c r="K2" s="129" t="s">
        <v>176</v>
      </c>
      <c r="L2" s="7" t="s">
        <v>3</v>
      </c>
      <c r="M2" s="7" t="str">
        <f>'Emission Factors'!A303</f>
        <v>Intercity Rail - Northeast Corridor</v>
      </c>
      <c r="N2" s="7" t="str">
        <f>'Emission Factors'!A309</f>
        <v>Short Haul (&lt; 300 miles)</v>
      </c>
      <c r="O2" s="276" t="s">
        <v>462</v>
      </c>
      <c r="P2" s="276" t="s">
        <v>753</v>
      </c>
      <c r="Q2" s="276" t="s">
        <v>176</v>
      </c>
      <c r="R2" s="885" t="s">
        <v>31</v>
      </c>
      <c r="S2" s="885" t="s">
        <v>1153</v>
      </c>
      <c r="T2" s="885" t="s">
        <v>1156</v>
      </c>
      <c r="U2" s="885" t="s">
        <v>1157</v>
      </c>
      <c r="V2" t="s">
        <v>1214</v>
      </c>
      <c r="W2" s="1022" t="s">
        <v>1277</v>
      </c>
      <c r="X2" t="str">
        <f>'Unit Conversions'!A12</f>
        <v>gram (g)</v>
      </c>
      <c r="Z2" s="1095" t="s">
        <v>1277</v>
      </c>
      <c r="AA2" s="1095" t="s">
        <v>1277</v>
      </c>
      <c r="AB2" s="1095" t="s">
        <v>1277</v>
      </c>
      <c r="AC2" s="1095" t="s">
        <v>1277</v>
      </c>
      <c r="AD2" s="1095" t="s">
        <v>1277</v>
      </c>
      <c r="AE2" s="1095" t="s">
        <v>1277</v>
      </c>
      <c r="AF2" s="1095" t="s">
        <v>1278</v>
      </c>
      <c r="AG2" s="1095" t="s">
        <v>1277</v>
      </c>
      <c r="AH2" s="1095" t="s">
        <v>1278</v>
      </c>
      <c r="AI2" s="1095" t="s">
        <v>1278</v>
      </c>
      <c r="AJ2" s="1095" t="s">
        <v>1278</v>
      </c>
      <c r="AK2" s="1095" t="s">
        <v>1278</v>
      </c>
      <c r="AL2" s="1095" t="s">
        <v>1278</v>
      </c>
      <c r="AM2" s="1095" t="s">
        <v>1277</v>
      </c>
      <c r="AN2" s="1095" t="s">
        <v>1277</v>
      </c>
      <c r="AO2" s="1095" t="s">
        <v>1277</v>
      </c>
      <c r="AP2" s="1095" t="s">
        <v>1277</v>
      </c>
      <c r="AQ2" s="1095" t="s">
        <v>1277</v>
      </c>
      <c r="AR2" s="1095" t="s">
        <v>1277</v>
      </c>
      <c r="AS2" s="1095" t="s">
        <v>1277</v>
      </c>
      <c r="AT2" s="1095" t="s">
        <v>1277</v>
      </c>
      <c r="AU2" s="1095" t="s">
        <v>1278</v>
      </c>
      <c r="AV2" s="1095" t="s">
        <v>1278</v>
      </c>
      <c r="AW2" s="1095" t="s">
        <v>1278</v>
      </c>
      <c r="AX2" s="1095" t="s">
        <v>1278</v>
      </c>
      <c r="AY2" s="1095" t="s">
        <v>1278</v>
      </c>
      <c r="AZ2" s="1095" t="s">
        <v>1278</v>
      </c>
      <c r="BA2" s="1095" t="s">
        <v>1278</v>
      </c>
      <c r="BB2" s="1095" t="s">
        <v>1278</v>
      </c>
      <c r="BC2" s="1095" t="s">
        <v>1278</v>
      </c>
      <c r="BD2" s="1095" t="s">
        <v>1278</v>
      </c>
      <c r="BE2" s="1095" t="s">
        <v>1278</v>
      </c>
      <c r="BF2" s="1095" t="s">
        <v>1278</v>
      </c>
      <c r="BG2" s="1095" t="s">
        <v>1277</v>
      </c>
      <c r="BH2" s="1095" t="s">
        <v>1277</v>
      </c>
      <c r="BI2" s="1095" t="s">
        <v>1277</v>
      </c>
      <c r="BJ2" s="1095" t="s">
        <v>1277</v>
      </c>
      <c r="BK2" s="1095" t="s">
        <v>1277</v>
      </c>
      <c r="BL2" s="1095" t="s">
        <v>1277</v>
      </c>
      <c r="BM2" s="1095" t="s">
        <v>1278</v>
      </c>
      <c r="BN2" s="1095" t="s">
        <v>1278</v>
      </c>
      <c r="BO2" s="1095" t="s">
        <v>1278</v>
      </c>
      <c r="BP2" s="1095" t="s">
        <v>1278</v>
      </c>
      <c r="BQ2" s="1095" t="s">
        <v>1278</v>
      </c>
      <c r="BR2" s="1095" t="s">
        <v>1278</v>
      </c>
      <c r="BS2" s="1095" t="s">
        <v>1278</v>
      </c>
      <c r="BT2" s="1095" t="s">
        <v>1278</v>
      </c>
      <c r="BU2" s="1095" t="s">
        <v>1278</v>
      </c>
      <c r="BV2" s="1095" t="s">
        <v>1278</v>
      </c>
      <c r="BW2" s="1095" t="s">
        <v>1278</v>
      </c>
      <c r="BX2" s="1095" t="s">
        <v>1278</v>
      </c>
      <c r="BY2" s="1095" t="s">
        <v>1277</v>
      </c>
      <c r="BZ2" s="1095" t="s">
        <v>1277</v>
      </c>
      <c r="CA2" s="1095" t="s">
        <v>1277</v>
      </c>
      <c r="CB2" s="1095" t="s">
        <v>1277</v>
      </c>
      <c r="CC2" s="1095" t="s">
        <v>1277</v>
      </c>
      <c r="CD2" s="1095" t="s">
        <v>1278</v>
      </c>
      <c r="CE2" s="1095" t="s">
        <v>1277</v>
      </c>
      <c r="CF2" s="1095" t="s">
        <v>1278</v>
      </c>
      <c r="CG2" s="1095" t="s">
        <v>1278</v>
      </c>
    </row>
    <row r="3" spans="1:85" ht="15.75">
      <c r="A3" s="276" t="s">
        <v>149</v>
      </c>
      <c r="B3" s="276" t="s">
        <v>463</v>
      </c>
      <c r="C3" s="884" t="s">
        <v>839</v>
      </c>
      <c r="D3" t="s">
        <v>1303</v>
      </c>
      <c r="E3" s="7" t="s">
        <v>92</v>
      </c>
      <c r="F3" s="2" t="s">
        <v>129</v>
      </c>
      <c r="G3" s="2" t="s">
        <v>248</v>
      </c>
      <c r="H3" s="2" t="s">
        <v>129</v>
      </c>
      <c r="I3" s="276" t="s">
        <v>276</v>
      </c>
      <c r="J3" s="2" t="str">
        <f>'Emission Factors'!A272</f>
        <v>AKMS (ASCC Miscellaneous)</v>
      </c>
      <c r="K3" s="882" t="s">
        <v>839</v>
      </c>
      <c r="L3" s="7" t="s">
        <v>4</v>
      </c>
      <c r="M3" s="7" t="str">
        <f>'Emission Factors'!A304</f>
        <v>Intercity Rail - Other Routes</v>
      </c>
      <c r="N3" s="7" t="str">
        <f>'Emission Factors'!A310</f>
        <v>Medium Haul (&gt;= 300 miles, &lt; 2300 miles)</v>
      </c>
      <c r="O3" s="7" t="s">
        <v>4</v>
      </c>
      <c r="P3" s="300" t="s">
        <v>325</v>
      </c>
      <c r="Q3" s="884" t="s">
        <v>839</v>
      </c>
      <c r="R3" s="300" t="s">
        <v>1151</v>
      </c>
      <c r="S3" s="300" t="s">
        <v>1154</v>
      </c>
      <c r="T3" s="300" t="s">
        <v>1155</v>
      </c>
      <c r="U3" s="885" t="s">
        <v>1155</v>
      </c>
      <c r="V3" t="s">
        <v>1215</v>
      </c>
      <c r="W3" s="1022" t="s">
        <v>1278</v>
      </c>
      <c r="X3" t="str">
        <f>'Unit Conversions'!A13</f>
        <v>kilogram (kg)</v>
      </c>
      <c r="Z3" s="1095" t="s">
        <v>1278</v>
      </c>
      <c r="AA3" s="1095" t="s">
        <v>1278</v>
      </c>
      <c r="AB3" s="1095" t="s">
        <v>1278</v>
      </c>
      <c r="AC3" s="1095" t="s">
        <v>1278</v>
      </c>
      <c r="AD3" s="1095" t="s">
        <v>1278</v>
      </c>
      <c r="AE3" s="1095" t="s">
        <v>1278</v>
      </c>
      <c r="AF3" s="1095" t="s">
        <v>168</v>
      </c>
      <c r="AG3" s="1095" t="s">
        <v>1278</v>
      </c>
      <c r="AH3" s="1095" t="s">
        <v>168</v>
      </c>
      <c r="AI3" s="1095" t="s">
        <v>168</v>
      </c>
      <c r="AJ3" s="1095" t="s">
        <v>168</v>
      </c>
      <c r="AK3" s="1095" t="s">
        <v>168</v>
      </c>
      <c r="AL3" s="1095" t="s">
        <v>168</v>
      </c>
      <c r="AM3" s="1095" t="s">
        <v>1278</v>
      </c>
      <c r="AN3" s="1095" t="s">
        <v>1278</v>
      </c>
      <c r="AO3" s="1095" t="s">
        <v>1278</v>
      </c>
      <c r="AP3" s="1095" t="s">
        <v>1278</v>
      </c>
      <c r="AQ3" s="1095" t="s">
        <v>1278</v>
      </c>
      <c r="AR3" s="1095" t="s">
        <v>1278</v>
      </c>
      <c r="AS3" s="1095" t="s">
        <v>1278</v>
      </c>
      <c r="AT3" s="1095" t="s">
        <v>1278</v>
      </c>
      <c r="AU3" s="1095" t="s">
        <v>168</v>
      </c>
      <c r="AV3" s="1095" t="s">
        <v>168</v>
      </c>
      <c r="AW3" s="1095" t="s">
        <v>168</v>
      </c>
      <c r="AX3" s="1095" t="s">
        <v>168</v>
      </c>
      <c r="AY3" s="1095" t="s">
        <v>168</v>
      </c>
      <c r="AZ3" s="1095" t="s">
        <v>168</v>
      </c>
      <c r="BA3" s="1095" t="s">
        <v>168</v>
      </c>
      <c r="BB3" s="1095" t="s">
        <v>168</v>
      </c>
      <c r="BC3" s="1095" t="s">
        <v>168</v>
      </c>
      <c r="BD3" s="1095" t="s">
        <v>168</v>
      </c>
      <c r="BE3" s="1095" t="s">
        <v>168</v>
      </c>
      <c r="BF3" s="1095" t="s">
        <v>168</v>
      </c>
      <c r="BG3" s="1095" t="s">
        <v>1278</v>
      </c>
      <c r="BH3" s="1095" t="s">
        <v>1278</v>
      </c>
      <c r="BI3" s="1095" t="s">
        <v>1278</v>
      </c>
      <c r="BJ3" s="1095" t="s">
        <v>1278</v>
      </c>
      <c r="BK3" s="1095" t="s">
        <v>1278</v>
      </c>
      <c r="BL3" s="1095" t="s">
        <v>1278</v>
      </c>
      <c r="BM3" s="1095" t="s">
        <v>168</v>
      </c>
      <c r="BN3" s="1095" t="s">
        <v>168</v>
      </c>
      <c r="BO3" s="1095" t="s">
        <v>168</v>
      </c>
      <c r="BP3" s="1095" t="s">
        <v>168</v>
      </c>
      <c r="BQ3" s="1095" t="s">
        <v>168</v>
      </c>
      <c r="BR3" s="1095" t="s">
        <v>168</v>
      </c>
      <c r="BS3" s="1095" t="s">
        <v>168</v>
      </c>
      <c r="BT3" s="1095" t="s">
        <v>168</v>
      </c>
      <c r="BU3" s="1095" t="s">
        <v>168</v>
      </c>
      <c r="BV3" s="1095" t="s">
        <v>168</v>
      </c>
      <c r="BW3" s="1095" t="s">
        <v>168</v>
      </c>
      <c r="BX3" s="1093"/>
      <c r="BY3" s="1095" t="s">
        <v>1278</v>
      </c>
      <c r="BZ3" s="1095" t="s">
        <v>1278</v>
      </c>
      <c r="CA3" s="1095" t="s">
        <v>1278</v>
      </c>
      <c r="CB3" s="1095" t="s">
        <v>1278</v>
      </c>
      <c r="CC3" s="1095" t="s">
        <v>1278</v>
      </c>
      <c r="CD3" s="1095"/>
      <c r="CE3" s="1095" t="s">
        <v>1278</v>
      </c>
      <c r="CF3" s="1095" t="s">
        <v>168</v>
      </c>
      <c r="CG3" s="1095" t="s">
        <v>168</v>
      </c>
    </row>
    <row r="4" spans="1:85">
      <c r="A4" s="276" t="s">
        <v>330</v>
      </c>
      <c r="B4" s="276" t="s">
        <v>381</v>
      </c>
      <c r="C4" s="884" t="s">
        <v>840</v>
      </c>
      <c r="D4" t="s">
        <v>1304</v>
      </c>
      <c r="E4" s="2" t="s">
        <v>88</v>
      </c>
      <c r="F4" s="2" t="s">
        <v>130</v>
      </c>
      <c r="G4" s="2"/>
      <c r="H4" s="2" t="s">
        <v>131</v>
      </c>
      <c r="I4" s="300" t="s">
        <v>551</v>
      </c>
      <c r="J4" s="2" t="str">
        <f>'Emission Factors'!A273</f>
        <v>AZNM (WECC Southwest)</v>
      </c>
      <c r="K4" s="882" t="s">
        <v>840</v>
      </c>
      <c r="L4" s="7" t="s">
        <v>5</v>
      </c>
      <c r="M4" s="7" t="str">
        <f>'Emission Factors'!A305</f>
        <v>Intercity Rail - National Average</v>
      </c>
      <c r="N4" s="7" t="str">
        <f>'Emission Factors'!A311</f>
        <v>Long Haul (&gt;= 2300 miles)</v>
      </c>
      <c r="O4" s="7" t="s">
        <v>3</v>
      </c>
      <c r="P4" s="7" t="s">
        <v>257</v>
      </c>
      <c r="Q4" s="884" t="s">
        <v>840</v>
      </c>
      <c r="R4" s="300" t="s">
        <v>1151</v>
      </c>
      <c r="S4" s="300" t="s">
        <v>1155</v>
      </c>
      <c r="V4" t="s">
        <v>1216</v>
      </c>
      <c r="W4" s="1022" t="s">
        <v>168</v>
      </c>
      <c r="X4" t="str">
        <f>'Unit Conversions'!A14</f>
        <v>metric ton</v>
      </c>
      <c r="Z4" s="1095" t="s">
        <v>168</v>
      </c>
      <c r="AA4" s="1095" t="s">
        <v>168</v>
      </c>
      <c r="AB4" s="1095" t="s">
        <v>168</v>
      </c>
      <c r="AC4" s="1095" t="s">
        <v>168</v>
      </c>
      <c r="AD4" s="1095" t="s">
        <v>168</v>
      </c>
      <c r="AE4" s="1095" t="s">
        <v>168</v>
      </c>
      <c r="AF4" s="1092"/>
      <c r="AG4" s="1095" t="s">
        <v>168</v>
      </c>
      <c r="AH4" s="1092"/>
      <c r="AI4" s="1092"/>
      <c r="AJ4" s="1092"/>
      <c r="AK4" s="1092"/>
      <c r="AL4" s="1095" t="s">
        <v>1279</v>
      </c>
      <c r="AM4" s="1095" t="s">
        <v>168</v>
      </c>
      <c r="AN4" s="1095" t="s">
        <v>168</v>
      </c>
      <c r="AO4" s="1095" t="s">
        <v>168</v>
      </c>
      <c r="AP4" s="1095" t="s">
        <v>168</v>
      </c>
      <c r="AQ4" s="1095" t="s">
        <v>168</v>
      </c>
      <c r="AR4" s="1095" t="s">
        <v>168</v>
      </c>
      <c r="AS4" s="1095" t="s">
        <v>168</v>
      </c>
      <c r="AT4" s="1095" t="s">
        <v>168</v>
      </c>
      <c r="AU4" s="1095" t="s">
        <v>1279</v>
      </c>
      <c r="AV4" s="1095" t="s">
        <v>1275</v>
      </c>
      <c r="AW4" s="1095" t="s">
        <v>1279</v>
      </c>
      <c r="AX4" s="1095" t="s">
        <v>1279</v>
      </c>
      <c r="AY4" s="1095" t="s">
        <v>1279</v>
      </c>
      <c r="AZ4" s="1095" t="s">
        <v>1279</v>
      </c>
      <c r="BA4" s="1095" t="s">
        <v>1279</v>
      </c>
      <c r="BB4" s="1095" t="s">
        <v>1279</v>
      </c>
      <c r="BC4" s="1095" t="s">
        <v>1279</v>
      </c>
      <c r="BD4" s="1095" t="s">
        <v>1279</v>
      </c>
      <c r="BE4" s="1095" t="s">
        <v>1279</v>
      </c>
      <c r="BF4" s="1095" t="s">
        <v>1279</v>
      </c>
      <c r="BG4" s="1095" t="s">
        <v>168</v>
      </c>
      <c r="BH4" s="1095" t="s">
        <v>168</v>
      </c>
      <c r="BI4" s="1095" t="s">
        <v>168</v>
      </c>
      <c r="BJ4" s="1095" t="s">
        <v>168</v>
      </c>
      <c r="BK4" s="1095" t="s">
        <v>168</v>
      </c>
      <c r="BL4" s="1095" t="s">
        <v>168</v>
      </c>
      <c r="BM4" s="1095" t="s">
        <v>1279</v>
      </c>
      <c r="BN4" s="1095" t="s">
        <v>1279</v>
      </c>
      <c r="BO4" s="1094"/>
      <c r="BP4" s="1092"/>
      <c r="BQ4" s="1092"/>
      <c r="BR4" s="1092"/>
      <c r="BS4" s="1092"/>
      <c r="BT4" s="1092"/>
      <c r="BU4" s="1092"/>
      <c r="BV4" s="1092"/>
      <c r="BW4" s="1092"/>
      <c r="BX4" s="1092"/>
      <c r="BY4" s="1093"/>
      <c r="BZ4" s="1093"/>
      <c r="CA4" s="1095" t="s">
        <v>168</v>
      </c>
      <c r="CB4" s="1093"/>
      <c r="CC4" s="1095" t="s">
        <v>168</v>
      </c>
      <c r="CD4" s="1093"/>
      <c r="CE4" s="1093"/>
      <c r="CF4" s="1092"/>
      <c r="CG4" s="1092"/>
    </row>
    <row r="5" spans="1:85" ht="15.75">
      <c r="A5" s="276" t="s">
        <v>331</v>
      </c>
      <c r="B5" s="276" t="s">
        <v>382</v>
      </c>
      <c r="C5" s="276" t="s">
        <v>179</v>
      </c>
      <c r="D5" t="s">
        <v>1305</v>
      </c>
      <c r="E5" s="201" t="s">
        <v>123</v>
      </c>
      <c r="F5" s="2" t="s">
        <v>131</v>
      </c>
      <c r="G5" s="2"/>
      <c r="H5" s="2" t="s">
        <v>132</v>
      </c>
      <c r="I5" s="276" t="s">
        <v>624</v>
      </c>
      <c r="J5" s="2" t="str">
        <f>'Emission Factors'!A274</f>
        <v>CAMX (WECC California)</v>
      </c>
      <c r="K5" s="129" t="s">
        <v>179</v>
      </c>
      <c r="L5" s="27"/>
      <c r="M5" s="7" t="str">
        <f>'Emission Factors'!A306</f>
        <v>Commuter Rail</v>
      </c>
      <c r="N5" s="27"/>
      <c r="O5" s="27"/>
      <c r="P5" s="7" t="s">
        <v>258</v>
      </c>
      <c r="Q5" s="276" t="s">
        <v>179</v>
      </c>
      <c r="R5" s="300" t="s">
        <v>1151</v>
      </c>
      <c r="V5" t="s">
        <v>1217</v>
      </c>
      <c r="W5" s="1022" t="s">
        <v>1279</v>
      </c>
      <c r="X5" t="str">
        <f>'Unit Conversions'!A15</f>
        <v>pounds (lb)</v>
      </c>
      <c r="Z5" s="1092"/>
      <c r="AA5" s="1092"/>
      <c r="AB5" s="1092"/>
      <c r="AC5" s="1092"/>
      <c r="AD5" s="1092"/>
      <c r="AE5" s="1092"/>
      <c r="AF5" s="1092"/>
      <c r="AG5" s="1092"/>
      <c r="AH5" s="1092"/>
      <c r="AI5" s="1092"/>
      <c r="AJ5" s="1092"/>
      <c r="AK5" s="1092"/>
      <c r="AL5" s="1092"/>
      <c r="AM5" s="1094"/>
      <c r="AN5" s="1094"/>
      <c r="AO5" s="1094"/>
      <c r="AP5" s="1094"/>
      <c r="AQ5" s="1094"/>
      <c r="AR5" s="1094"/>
      <c r="AS5" s="1094"/>
      <c r="AT5" s="1094"/>
      <c r="AU5" s="1095" t="s">
        <v>1275</v>
      </c>
      <c r="AV5" s="1095" t="s">
        <v>1276</v>
      </c>
      <c r="AW5" s="1095" t="s">
        <v>1275</v>
      </c>
      <c r="AX5" s="1095" t="s">
        <v>1275</v>
      </c>
      <c r="AY5" s="1095" t="s">
        <v>1275</v>
      </c>
      <c r="AZ5" s="1095" t="s">
        <v>1275</v>
      </c>
      <c r="BA5" s="1095" t="s">
        <v>1275</v>
      </c>
      <c r="BB5" s="1095" t="s">
        <v>1275</v>
      </c>
      <c r="BC5" s="1095" t="s">
        <v>1275</v>
      </c>
      <c r="BD5" s="1095" t="s">
        <v>1275</v>
      </c>
      <c r="BE5" s="1095" t="s">
        <v>1275</v>
      </c>
      <c r="BF5" s="1095" t="s">
        <v>1275</v>
      </c>
      <c r="BG5" s="1094"/>
      <c r="BH5" s="1094"/>
      <c r="BI5" s="1094"/>
      <c r="BJ5" s="1094"/>
      <c r="BK5" s="1094"/>
      <c r="BL5" s="1094"/>
      <c r="BM5" s="1094"/>
      <c r="BN5" s="1094"/>
      <c r="BO5" s="1094"/>
      <c r="BP5" s="1092"/>
      <c r="BQ5" s="1092"/>
      <c r="BR5" s="1092"/>
      <c r="BS5" s="1092"/>
      <c r="BT5" s="1092"/>
      <c r="BU5" s="1092"/>
      <c r="BV5" s="1092"/>
      <c r="BW5" s="1092"/>
      <c r="BX5" s="1092"/>
      <c r="BY5" s="1092"/>
      <c r="BZ5" s="1092"/>
      <c r="CA5" s="1092"/>
      <c r="CB5" s="1092"/>
      <c r="CC5" s="1092"/>
      <c r="CD5" s="1092"/>
      <c r="CE5" s="1092"/>
      <c r="CF5" s="1092"/>
      <c r="CG5" s="1092"/>
    </row>
    <row r="6" spans="1:85" ht="15.75">
      <c r="A6" s="276" t="s">
        <v>547</v>
      </c>
      <c r="B6" s="276" t="s">
        <v>383</v>
      </c>
      <c r="C6" s="884" t="s">
        <v>842</v>
      </c>
      <c r="D6" t="s">
        <v>1306</v>
      </c>
      <c r="E6" s="7" t="s">
        <v>124</v>
      </c>
      <c r="F6" s="2" t="s">
        <v>132</v>
      </c>
      <c r="G6" s="2"/>
      <c r="H6" s="2" t="s">
        <v>135</v>
      </c>
      <c r="I6" s="276" t="s">
        <v>769</v>
      </c>
      <c r="J6" s="2" t="str">
        <f>'Emission Factors'!A275</f>
        <v>ERCT (ERCOT All)</v>
      </c>
      <c r="K6" s="882" t="s">
        <v>842</v>
      </c>
      <c r="L6" s="27"/>
      <c r="M6" s="7" t="str">
        <f>'Emission Factors'!A307</f>
        <v>Transit Rail (i.e. Subway, Tram)</v>
      </c>
      <c r="N6" s="27"/>
      <c r="O6" s="27"/>
      <c r="Q6" s="884" t="s">
        <v>842</v>
      </c>
      <c r="R6" s="300" t="s">
        <v>1151</v>
      </c>
      <c r="V6" t="s">
        <v>1218</v>
      </c>
      <c r="W6" t="s">
        <v>1275</v>
      </c>
      <c r="X6" t="str">
        <f>'Unit Conversions'!A16</f>
        <v>short ton</v>
      </c>
      <c r="Z6" s="1092"/>
      <c r="AA6" s="1092"/>
      <c r="AB6" s="1092"/>
      <c r="AC6" s="1092"/>
      <c r="AD6" s="1092"/>
      <c r="AE6" s="1092"/>
      <c r="AF6" s="1092"/>
      <c r="AG6" s="1092"/>
      <c r="AH6" s="1092"/>
      <c r="AI6" s="1092"/>
      <c r="AJ6" s="1092"/>
      <c r="AK6" s="1092"/>
      <c r="AL6" s="1092"/>
      <c r="AM6" s="1092"/>
      <c r="AN6" s="1092"/>
      <c r="AO6" s="1092"/>
      <c r="AP6" s="1092"/>
      <c r="AQ6" s="1092"/>
      <c r="AR6" s="1092"/>
      <c r="AS6" s="1092"/>
      <c r="AT6" s="1092"/>
      <c r="AU6" s="1095" t="s">
        <v>1276</v>
      </c>
      <c r="AV6" s="755"/>
      <c r="AW6" s="1095" t="s">
        <v>1276</v>
      </c>
      <c r="AX6" s="1095" t="s">
        <v>1276</v>
      </c>
      <c r="AY6" s="1095" t="s">
        <v>1276</v>
      </c>
      <c r="AZ6" s="1095" t="s">
        <v>1276</v>
      </c>
      <c r="BA6" s="1095" t="s">
        <v>1276</v>
      </c>
      <c r="BB6" s="1095" t="s">
        <v>1276</v>
      </c>
      <c r="BC6" s="1094"/>
      <c r="BD6" s="1094"/>
      <c r="BE6" s="1094"/>
      <c r="BF6" s="1094"/>
      <c r="BG6" s="1094"/>
      <c r="BH6" s="1094"/>
      <c r="BI6" s="1094"/>
      <c r="BJ6" s="1094"/>
      <c r="BK6" s="1094"/>
      <c r="BL6" s="1094"/>
      <c r="BM6" s="1094"/>
      <c r="BN6" s="1094"/>
      <c r="BO6" s="1094"/>
      <c r="BP6" s="1092"/>
      <c r="BQ6" s="1092"/>
      <c r="BR6" s="1092"/>
      <c r="BS6" s="1092"/>
      <c r="BT6" s="1092"/>
      <c r="BU6" s="1092"/>
      <c r="BV6" s="1092"/>
      <c r="BW6" s="1092"/>
      <c r="BX6" s="1092"/>
      <c r="BY6" s="1092"/>
      <c r="BZ6" s="1092"/>
      <c r="CA6" s="1092"/>
      <c r="CB6" s="1092"/>
      <c r="CC6" s="1092"/>
      <c r="CD6" s="1092"/>
      <c r="CE6" s="1092"/>
      <c r="CF6" s="1092"/>
      <c r="CG6" s="1092"/>
    </row>
    <row r="7" spans="1:85">
      <c r="A7" s="276" t="s">
        <v>378</v>
      </c>
      <c r="B7" s="276" t="s">
        <v>548</v>
      </c>
      <c r="C7" s="884" t="s">
        <v>172</v>
      </c>
      <c r="D7" t="s">
        <v>1307</v>
      </c>
      <c r="E7" s="7" t="s">
        <v>125</v>
      </c>
      <c r="F7" s="2" t="s">
        <v>133</v>
      </c>
      <c r="G7" s="2"/>
      <c r="H7" s="2" t="s">
        <v>136</v>
      </c>
      <c r="I7" s="2" t="s">
        <v>129</v>
      </c>
      <c r="J7" s="2" t="str">
        <f>'Emission Factors'!A276</f>
        <v>FRCC (FRCC All)</v>
      </c>
      <c r="K7" s="883" t="s">
        <v>172</v>
      </c>
      <c r="L7" s="27"/>
      <c r="M7" s="7" t="str">
        <f>'Emission Factors'!A308</f>
        <v>Bus</v>
      </c>
      <c r="N7" s="27"/>
      <c r="O7" s="27"/>
      <c r="Q7" s="884" t="s">
        <v>172</v>
      </c>
      <c r="R7" s="300" t="s">
        <v>1152</v>
      </c>
      <c r="V7" t="s">
        <v>1219</v>
      </c>
      <c r="W7" t="s">
        <v>1276</v>
      </c>
      <c r="Z7" s="1090"/>
      <c r="AA7" s="1090"/>
      <c r="AB7" s="1090"/>
      <c r="AC7" s="1090"/>
      <c r="AD7" s="1090"/>
      <c r="AE7" s="1090"/>
      <c r="AG7" s="1090"/>
      <c r="AM7" s="1090"/>
      <c r="AN7" s="1090"/>
      <c r="AO7" s="1090"/>
      <c r="AP7" s="1090"/>
      <c r="AQ7" s="1090"/>
      <c r="AR7" s="1090"/>
      <c r="AS7" s="1090"/>
      <c r="AT7" s="1090"/>
      <c r="BG7" s="1091"/>
      <c r="BH7" s="1091"/>
      <c r="BI7" s="1091"/>
      <c r="BJ7" s="1091"/>
      <c r="BK7" s="1091"/>
      <c r="BL7" s="1091"/>
      <c r="BY7" s="1090"/>
      <c r="BZ7" s="1090"/>
      <c r="CA7" s="1090"/>
      <c r="CB7" s="1090"/>
      <c r="CC7" s="1090"/>
      <c r="CD7" s="1090"/>
      <c r="CE7" s="1090"/>
    </row>
    <row r="8" spans="1:85" ht="15.75">
      <c r="A8" s="276" t="s">
        <v>73</v>
      </c>
      <c r="B8" s="276" t="s">
        <v>384</v>
      </c>
      <c r="C8" s="884" t="s">
        <v>173</v>
      </c>
      <c r="D8" t="s">
        <v>1308</v>
      </c>
      <c r="E8" s="7" t="s">
        <v>91</v>
      </c>
      <c r="F8" s="2" t="s">
        <v>134</v>
      </c>
      <c r="G8" s="2"/>
      <c r="H8" s="201" t="s">
        <v>1072</v>
      </c>
      <c r="I8" s="2" t="s">
        <v>130</v>
      </c>
      <c r="J8" s="2" t="str">
        <f>'Emission Factors'!A277</f>
        <v>HIMS (HICC Miscellaneous)</v>
      </c>
      <c r="K8" s="883" t="s">
        <v>173</v>
      </c>
      <c r="L8" s="27"/>
      <c r="M8" s="27"/>
      <c r="N8" s="27"/>
      <c r="O8" s="27"/>
      <c r="P8" s="27"/>
      <c r="Q8" s="884" t="s">
        <v>173</v>
      </c>
      <c r="R8" s="300" t="s">
        <v>1152</v>
      </c>
      <c r="V8" t="s">
        <v>1220</v>
      </c>
    </row>
    <row r="9" spans="1:85" ht="15.75">
      <c r="A9" s="276" t="s">
        <v>75</v>
      </c>
      <c r="B9" s="276" t="s">
        <v>385</v>
      </c>
      <c r="C9" s="884" t="s">
        <v>174</v>
      </c>
      <c r="D9" t="s">
        <v>1309</v>
      </c>
      <c r="E9" s="7" t="s">
        <v>90</v>
      </c>
      <c r="F9" s="2" t="s">
        <v>136</v>
      </c>
      <c r="G9" s="2"/>
      <c r="H9" s="201" t="s">
        <v>626</v>
      </c>
      <c r="I9" s="2" t="s">
        <v>131</v>
      </c>
      <c r="J9" s="2" t="str">
        <f>'Emission Factors'!A278</f>
        <v>HIOA (HICC Oahu)</v>
      </c>
      <c r="K9" s="883" t="s">
        <v>174</v>
      </c>
      <c r="L9" s="27"/>
      <c r="M9" s="27"/>
      <c r="N9" s="27"/>
      <c r="O9" s="27"/>
      <c r="P9" s="27"/>
      <c r="Q9" s="884" t="s">
        <v>174</v>
      </c>
      <c r="R9" s="300" t="s">
        <v>1152</v>
      </c>
      <c r="V9" t="s">
        <v>1221</v>
      </c>
    </row>
    <row r="10" spans="1:85" ht="15.75">
      <c r="A10" s="276" t="s">
        <v>332</v>
      </c>
      <c r="B10" s="276" t="s">
        <v>386</v>
      </c>
      <c r="C10" s="884" t="s">
        <v>175</v>
      </c>
      <c r="D10" t="s">
        <v>1310</v>
      </c>
      <c r="E10" s="7" t="s">
        <v>89</v>
      </c>
      <c r="F10" s="201" t="s">
        <v>1072</v>
      </c>
      <c r="G10" s="2"/>
      <c r="H10" s="2"/>
      <c r="I10" s="2" t="s">
        <v>132</v>
      </c>
      <c r="J10" s="2" t="str">
        <f>'Emission Factors'!A279</f>
        <v>MROE (MRO East)</v>
      </c>
      <c r="K10" s="883" t="s">
        <v>175</v>
      </c>
      <c r="L10" s="27"/>
      <c r="M10" s="27"/>
      <c r="N10" s="27"/>
      <c r="O10" s="27"/>
      <c r="P10" s="27"/>
      <c r="Q10" s="884" t="s">
        <v>175</v>
      </c>
      <c r="R10" s="300" t="s">
        <v>1152</v>
      </c>
      <c r="V10" t="s">
        <v>1222</v>
      </c>
    </row>
    <row r="11" spans="1:85" ht="15.75">
      <c r="A11" s="276" t="s">
        <v>333</v>
      </c>
      <c r="B11" s="276" t="s">
        <v>387</v>
      </c>
      <c r="C11" s="276" t="s">
        <v>841</v>
      </c>
      <c r="D11" t="s">
        <v>1311</v>
      </c>
      <c r="E11" s="27"/>
      <c r="F11" s="2" t="s">
        <v>115</v>
      </c>
      <c r="I11" s="2" t="s">
        <v>133</v>
      </c>
      <c r="J11" s="2" t="str">
        <f>'Emission Factors'!A280</f>
        <v>MROW (MRO West)</v>
      </c>
      <c r="K11" s="882" t="s">
        <v>837</v>
      </c>
      <c r="L11" s="27"/>
      <c r="M11" s="27"/>
      <c r="N11" s="27"/>
      <c r="O11" s="27"/>
      <c r="P11" s="27"/>
      <c r="Q11" s="276" t="s">
        <v>841</v>
      </c>
      <c r="R11" s="300" t="s">
        <v>1152</v>
      </c>
      <c r="V11" t="s">
        <v>1223</v>
      </c>
    </row>
    <row r="12" spans="1:85" ht="15.75">
      <c r="A12" s="276" t="s">
        <v>153</v>
      </c>
      <c r="B12" s="276" t="s">
        <v>388</v>
      </c>
      <c r="C12" s="276" t="s">
        <v>843</v>
      </c>
      <c r="D12" t="s">
        <v>1312</v>
      </c>
      <c r="E12" s="7"/>
      <c r="F12" s="2" t="s">
        <v>116</v>
      </c>
      <c r="I12" s="2" t="s">
        <v>134</v>
      </c>
      <c r="J12" s="2" t="str">
        <f>'Emission Factors'!A281</f>
        <v>NEWE (NPCC New England)</v>
      </c>
      <c r="K12" s="883" t="s">
        <v>838</v>
      </c>
      <c r="L12" s="27"/>
      <c r="M12" s="27"/>
      <c r="N12" s="27"/>
      <c r="O12" s="27"/>
      <c r="P12" s="27"/>
      <c r="Q12" s="276" t="s">
        <v>843</v>
      </c>
      <c r="R12" s="300" t="s">
        <v>31</v>
      </c>
      <c r="V12" t="s">
        <v>1224</v>
      </c>
    </row>
    <row r="13" spans="1:85">
      <c r="A13" s="885" t="s">
        <v>1348</v>
      </c>
      <c r="B13" s="276" t="s">
        <v>749</v>
      </c>
      <c r="C13" s="27"/>
      <c r="D13" t="s">
        <v>1313</v>
      </c>
      <c r="E13" s="27"/>
      <c r="F13" s="276" t="s">
        <v>871</v>
      </c>
      <c r="I13" s="2" t="s">
        <v>136</v>
      </c>
      <c r="J13" s="2" t="str">
        <f>'Emission Factors'!A282</f>
        <v>NWPP (WECC Northwest)</v>
      </c>
      <c r="K13" s="276" t="s">
        <v>72</v>
      </c>
      <c r="L13" s="27"/>
      <c r="M13" s="27"/>
      <c r="N13" s="27"/>
      <c r="O13" s="27"/>
      <c r="P13" s="27"/>
      <c r="V13" t="s">
        <v>1225</v>
      </c>
    </row>
    <row r="14" spans="1:85" ht="15.75">
      <c r="A14" s="276" t="s">
        <v>268</v>
      </c>
      <c r="B14" s="276" t="s">
        <v>1074</v>
      </c>
      <c r="C14" s="7"/>
      <c r="D14" t="s">
        <v>1314</v>
      </c>
      <c r="E14" s="27"/>
      <c r="F14" s="276" t="s">
        <v>872</v>
      </c>
      <c r="I14" s="201" t="s">
        <v>1072</v>
      </c>
      <c r="J14" s="2" t="str">
        <f>'Emission Factors'!A283</f>
        <v>NYCW (NPCC NYC/Westchester)</v>
      </c>
      <c r="K14" s="129" t="s">
        <v>841</v>
      </c>
      <c r="L14" s="27"/>
      <c r="M14" s="27"/>
      <c r="N14" s="27"/>
      <c r="O14" s="27"/>
      <c r="P14" s="27"/>
      <c r="V14" t="s">
        <v>1226</v>
      </c>
    </row>
    <row r="15" spans="1:85" ht="15.75">
      <c r="A15" s="7"/>
      <c r="B15" s="276" t="s">
        <v>389</v>
      </c>
      <c r="C15" s="7"/>
      <c r="D15" t="s">
        <v>1315</v>
      </c>
      <c r="E15" s="27"/>
      <c r="F15" s="276" t="s">
        <v>873</v>
      </c>
      <c r="I15" s="2" t="s">
        <v>115</v>
      </c>
      <c r="J15" s="2" t="str">
        <f>'Emission Factors'!A284</f>
        <v>NYLI (NPCC Long Island)</v>
      </c>
      <c r="K15" s="260" t="s">
        <v>843</v>
      </c>
      <c r="L15" s="27"/>
      <c r="M15" s="27"/>
      <c r="N15" s="27"/>
      <c r="O15" s="27"/>
      <c r="P15" s="27"/>
      <c r="V15" t="s">
        <v>1227</v>
      </c>
    </row>
    <row r="16" spans="1:85" ht="15.75">
      <c r="A16" s="7"/>
      <c r="C16" s="7"/>
      <c r="D16" t="s">
        <v>1316</v>
      </c>
      <c r="E16" s="27"/>
      <c r="F16" s="276" t="s">
        <v>874</v>
      </c>
      <c r="I16" s="201" t="s">
        <v>625</v>
      </c>
      <c r="J16" s="2" t="str">
        <f>'Emission Factors'!A285</f>
        <v>NYUP (NPCC Upstate NY)</v>
      </c>
      <c r="K16" s="7"/>
      <c r="L16" s="27"/>
      <c r="M16" s="27"/>
      <c r="N16" s="27"/>
      <c r="O16" s="27"/>
      <c r="P16" s="27"/>
      <c r="V16" t="s">
        <v>1228</v>
      </c>
    </row>
    <row r="17" spans="1:22" ht="15.75">
      <c r="A17" s="7"/>
      <c r="B17" s="7"/>
      <c r="C17" s="7"/>
      <c r="D17" t="s">
        <v>1317</v>
      </c>
      <c r="E17" s="27"/>
      <c r="F17" s="276" t="s">
        <v>875</v>
      </c>
      <c r="I17" s="201" t="s">
        <v>626</v>
      </c>
      <c r="J17" s="2" t="str">
        <f>'Emission Factors'!A286</f>
        <v>RFCE (RFC East)</v>
      </c>
      <c r="K17" s="2"/>
      <c r="V17" t="s">
        <v>1229</v>
      </c>
    </row>
    <row r="18" spans="1:22" ht="15.75">
      <c r="A18" s="7"/>
      <c r="B18" s="7"/>
      <c r="C18" s="94"/>
      <c r="D18" t="s">
        <v>1318</v>
      </c>
      <c r="E18" s="27"/>
      <c r="F18" s="276" t="s">
        <v>876</v>
      </c>
      <c r="I18" s="201" t="s">
        <v>627</v>
      </c>
      <c r="J18" s="2" t="str">
        <f>'Emission Factors'!A287</f>
        <v>RFCM (RFC Michigan)</v>
      </c>
      <c r="K18" s="2"/>
      <c r="V18" t="s">
        <v>1230</v>
      </c>
    </row>
    <row r="19" spans="1:22" ht="15.75">
      <c r="A19" s="27"/>
      <c r="B19" s="7"/>
      <c r="C19" s="276"/>
      <c r="D19" t="s">
        <v>1319</v>
      </c>
      <c r="E19" s="27"/>
      <c r="F19" s="276" t="s">
        <v>877</v>
      </c>
      <c r="I19" s="201" t="s">
        <v>628</v>
      </c>
      <c r="J19" s="2" t="str">
        <f>'Emission Factors'!A288</f>
        <v>RFCW (RFC West)</v>
      </c>
      <c r="K19" s="2"/>
      <c r="V19" t="s">
        <v>1231</v>
      </c>
    </row>
    <row r="20" spans="1:22" ht="15.75">
      <c r="A20" s="27"/>
      <c r="B20" s="27"/>
      <c r="C20" s="884"/>
      <c r="D20" t="s">
        <v>1320</v>
      </c>
      <c r="E20" s="27"/>
      <c r="F20" s="276" t="s">
        <v>878</v>
      </c>
      <c r="I20" s="201" t="s">
        <v>629</v>
      </c>
      <c r="J20" s="2" t="str">
        <f>'Emission Factors'!A289</f>
        <v>RMPA (WECC Rockies)</v>
      </c>
      <c r="V20" t="s">
        <v>1232</v>
      </c>
    </row>
    <row r="21" spans="1:22">
      <c r="A21" s="27"/>
      <c r="B21" s="27"/>
      <c r="C21" s="884"/>
      <c r="D21" t="s">
        <v>1321</v>
      </c>
      <c r="E21" s="27"/>
      <c r="F21" s="276" t="s">
        <v>879</v>
      </c>
      <c r="I21" s="276" t="s">
        <v>871</v>
      </c>
      <c r="J21" s="2" t="str">
        <f>'Emission Factors'!A290</f>
        <v>SPNO (SPP North)</v>
      </c>
      <c r="V21" t="s">
        <v>1233</v>
      </c>
    </row>
    <row r="22" spans="1:22">
      <c r="A22" s="27"/>
      <c r="B22" s="27"/>
      <c r="C22" s="276"/>
      <c r="D22" t="s">
        <v>1322</v>
      </c>
      <c r="E22" s="27"/>
      <c r="F22" s="276" t="s">
        <v>880</v>
      </c>
      <c r="I22" s="276" t="s">
        <v>872</v>
      </c>
      <c r="J22" s="2" t="str">
        <f>'Emission Factors'!A291</f>
        <v>SPSO (SPP South)</v>
      </c>
      <c r="V22" t="s">
        <v>1234</v>
      </c>
    </row>
    <row r="23" spans="1:22">
      <c r="A23" s="27"/>
      <c r="B23" s="27"/>
      <c r="C23" s="884"/>
      <c r="D23" t="s">
        <v>1323</v>
      </c>
      <c r="E23" s="27"/>
      <c r="F23" s="276" t="s">
        <v>881</v>
      </c>
      <c r="I23" s="276" t="s">
        <v>873</v>
      </c>
      <c r="J23" s="2" t="str">
        <f>'Emission Factors'!A292</f>
        <v>SRMV (SERC Mississippi Valley)</v>
      </c>
      <c r="V23" t="s">
        <v>1235</v>
      </c>
    </row>
    <row r="24" spans="1:22">
      <c r="A24" s="27"/>
      <c r="B24" s="27"/>
      <c r="C24" s="884"/>
      <c r="D24" t="s">
        <v>1324</v>
      </c>
      <c r="E24" s="27"/>
      <c r="F24" s="276" t="s">
        <v>882</v>
      </c>
      <c r="I24" s="276" t="s">
        <v>874</v>
      </c>
      <c r="J24" s="2" t="str">
        <f>'Emission Factors'!A293</f>
        <v>SRMW (SERC Midwest)</v>
      </c>
      <c r="V24" t="s">
        <v>1236</v>
      </c>
    </row>
    <row r="25" spans="1:22">
      <c r="A25" s="27"/>
      <c r="B25" s="27"/>
      <c r="C25" s="884"/>
      <c r="D25" t="s">
        <v>1325</v>
      </c>
      <c r="E25" s="27"/>
      <c r="F25" s="276" t="s">
        <v>883</v>
      </c>
      <c r="I25" s="276" t="s">
        <v>875</v>
      </c>
      <c r="J25" s="2" t="str">
        <f>'Emission Factors'!A294</f>
        <v>SRSO (SERC South)</v>
      </c>
      <c r="V25" t="s">
        <v>1237</v>
      </c>
    </row>
    <row r="26" spans="1:22">
      <c r="A26" s="27"/>
      <c r="B26" s="27"/>
      <c r="C26" s="884"/>
      <c r="D26" t="s">
        <v>1326</v>
      </c>
      <c r="E26" s="27"/>
      <c r="F26" s="276" t="s">
        <v>884</v>
      </c>
      <c r="I26" s="276" t="s">
        <v>876</v>
      </c>
      <c r="J26" s="2" t="str">
        <f>'Emission Factors'!A295</f>
        <v>SRTV (SERC Tennessee Valley)</v>
      </c>
      <c r="V26" t="s">
        <v>1238</v>
      </c>
    </row>
    <row r="27" spans="1:22">
      <c r="A27" s="27"/>
      <c r="B27" s="27"/>
      <c r="C27" s="884"/>
      <c r="D27" t="s">
        <v>1327</v>
      </c>
      <c r="F27" s="276" t="s">
        <v>885</v>
      </c>
      <c r="I27" s="276" t="s">
        <v>877</v>
      </c>
      <c r="J27" s="2" t="str">
        <f>'Emission Factors'!A296</f>
        <v>SRVC (SERC Virginia/Carolina)</v>
      </c>
      <c r="V27" t="s">
        <v>1239</v>
      </c>
    </row>
    <row r="28" spans="1:22">
      <c r="B28" s="27"/>
      <c r="C28" s="276"/>
      <c r="D28" t="s">
        <v>1328</v>
      </c>
      <c r="F28" s="276" t="s">
        <v>886</v>
      </c>
      <c r="I28" s="276" t="s">
        <v>878</v>
      </c>
      <c r="J28" s="2"/>
      <c r="V28" t="s">
        <v>1240</v>
      </c>
    </row>
    <row r="29" spans="1:22">
      <c r="C29" s="276"/>
      <c r="D29" t="s">
        <v>1329</v>
      </c>
      <c r="F29" s="276" t="s">
        <v>887</v>
      </c>
      <c r="I29" s="276" t="s">
        <v>879</v>
      </c>
      <c r="V29" t="s">
        <v>1241</v>
      </c>
    </row>
    <row r="30" spans="1:22">
      <c r="C30" s="2"/>
      <c r="D30" t="s">
        <v>1330</v>
      </c>
      <c r="F30" s="276" t="s">
        <v>888</v>
      </c>
      <c r="I30" s="276" t="s">
        <v>880</v>
      </c>
      <c r="V30" t="s">
        <v>1242</v>
      </c>
    </row>
    <row r="31" spans="1:22">
      <c r="C31" s="2"/>
      <c r="D31" t="s">
        <v>1331</v>
      </c>
      <c r="F31" s="276" t="s">
        <v>889</v>
      </c>
      <c r="I31" s="276" t="s">
        <v>881</v>
      </c>
      <c r="V31" t="s">
        <v>1243</v>
      </c>
    </row>
    <row r="32" spans="1:22">
      <c r="C32" s="2"/>
      <c r="D32" t="s">
        <v>1332</v>
      </c>
      <c r="F32" s="276" t="s">
        <v>890</v>
      </c>
      <c r="I32" s="276" t="s">
        <v>882</v>
      </c>
      <c r="V32" t="s">
        <v>1244</v>
      </c>
    </row>
    <row r="33" spans="2:22">
      <c r="C33" s="2"/>
      <c r="D33" t="s">
        <v>1333</v>
      </c>
      <c r="F33" s="276" t="s">
        <v>891</v>
      </c>
      <c r="I33" s="276" t="s">
        <v>883</v>
      </c>
      <c r="V33" t="s">
        <v>1245</v>
      </c>
    </row>
    <row r="34" spans="2:22">
      <c r="D34" t="s">
        <v>1334</v>
      </c>
      <c r="F34" s="276" t="s">
        <v>892</v>
      </c>
      <c r="I34" s="276" t="s">
        <v>884</v>
      </c>
      <c r="V34" t="s">
        <v>1246</v>
      </c>
    </row>
    <row r="35" spans="2:22">
      <c r="D35" t="s">
        <v>1335</v>
      </c>
      <c r="F35" s="276" t="s">
        <v>893</v>
      </c>
      <c r="I35" s="276" t="s">
        <v>885</v>
      </c>
      <c r="V35" t="s">
        <v>1247</v>
      </c>
    </row>
    <row r="36" spans="2:22">
      <c r="B36" s="7"/>
      <c r="D36" t="s">
        <v>1336</v>
      </c>
      <c r="F36" s="276" t="s">
        <v>894</v>
      </c>
      <c r="I36" s="276" t="s">
        <v>886</v>
      </c>
      <c r="V36" t="s">
        <v>1248</v>
      </c>
    </row>
    <row r="37" spans="2:22">
      <c r="D37" t="s">
        <v>1337</v>
      </c>
      <c r="F37" s="276" t="s">
        <v>895</v>
      </c>
      <c r="I37" s="276" t="s">
        <v>887</v>
      </c>
      <c r="V37" t="s">
        <v>1249</v>
      </c>
    </row>
    <row r="38" spans="2:22">
      <c r="D38" t="s">
        <v>1338</v>
      </c>
      <c r="F38" s="276" t="s">
        <v>896</v>
      </c>
      <c r="I38" s="276" t="s">
        <v>888</v>
      </c>
      <c r="V38" t="s">
        <v>1250</v>
      </c>
    </row>
    <row r="39" spans="2:22">
      <c r="D39" t="s">
        <v>1339</v>
      </c>
      <c r="F39" s="276" t="s">
        <v>897</v>
      </c>
      <c r="I39" s="276" t="s">
        <v>889</v>
      </c>
      <c r="V39" t="s">
        <v>1251</v>
      </c>
    </row>
    <row r="40" spans="2:22">
      <c r="D40" t="s">
        <v>1340</v>
      </c>
      <c r="F40" s="276" t="s">
        <v>898</v>
      </c>
      <c r="I40" s="276" t="s">
        <v>890</v>
      </c>
      <c r="V40" t="s">
        <v>1252</v>
      </c>
    </row>
    <row r="41" spans="2:22">
      <c r="D41" t="s">
        <v>1341</v>
      </c>
      <c r="F41" s="276" t="s">
        <v>899</v>
      </c>
      <c r="I41" s="276" t="s">
        <v>891</v>
      </c>
      <c r="V41" t="s">
        <v>1253</v>
      </c>
    </row>
    <row r="42" spans="2:22">
      <c r="D42" t="s">
        <v>1342</v>
      </c>
      <c r="F42" s="276" t="s">
        <v>900</v>
      </c>
      <c r="I42" s="276" t="s">
        <v>892</v>
      </c>
      <c r="V42" t="s">
        <v>1254</v>
      </c>
    </row>
    <row r="43" spans="2:22">
      <c r="D43" t="s">
        <v>1343</v>
      </c>
      <c r="F43" s="215" t="s">
        <v>901</v>
      </c>
      <c r="I43" s="276" t="s">
        <v>893</v>
      </c>
      <c r="V43" t="s">
        <v>1255</v>
      </c>
    </row>
    <row r="44" spans="2:22">
      <c r="D44" s="7"/>
      <c r="F44" s="215" t="s">
        <v>902</v>
      </c>
      <c r="I44" s="276" t="s">
        <v>894</v>
      </c>
      <c r="V44" t="s">
        <v>1256</v>
      </c>
    </row>
    <row r="45" spans="2:22">
      <c r="D45" s="7"/>
      <c r="F45" s="215" t="s">
        <v>903</v>
      </c>
      <c r="I45" s="276" t="s">
        <v>895</v>
      </c>
      <c r="V45" t="s">
        <v>1257</v>
      </c>
    </row>
    <row r="46" spans="2:22">
      <c r="D46" s="7"/>
      <c r="F46" s="215" t="s">
        <v>904</v>
      </c>
      <c r="I46" s="276" t="s">
        <v>896</v>
      </c>
      <c r="V46" t="s">
        <v>1258</v>
      </c>
    </row>
    <row r="47" spans="2:22">
      <c r="D47" s="885"/>
      <c r="F47" s="276" t="s">
        <v>905</v>
      </c>
      <c r="I47" s="276" t="s">
        <v>897</v>
      </c>
      <c r="V47" t="s">
        <v>1259</v>
      </c>
    </row>
    <row r="48" spans="2:22">
      <c r="F48" s="276" t="s">
        <v>906</v>
      </c>
      <c r="I48" s="276" t="s">
        <v>898</v>
      </c>
      <c r="V48" t="s">
        <v>1260</v>
      </c>
    </row>
    <row r="49" spans="4:22">
      <c r="F49" s="7"/>
      <c r="I49" s="276" t="s">
        <v>899</v>
      </c>
      <c r="V49" t="s">
        <v>1261</v>
      </c>
    </row>
    <row r="50" spans="4:22">
      <c r="F50" s="7"/>
      <c r="I50" s="276" t="s">
        <v>900</v>
      </c>
      <c r="V50" t="s">
        <v>1262</v>
      </c>
    </row>
    <row r="51" spans="4:22">
      <c r="F51" s="7"/>
      <c r="I51" s="215" t="s">
        <v>901</v>
      </c>
      <c r="V51" t="s">
        <v>1263</v>
      </c>
    </row>
    <row r="52" spans="4:22">
      <c r="F52" s="7"/>
      <c r="I52" s="215" t="s">
        <v>902</v>
      </c>
      <c r="V52" t="s">
        <v>1264</v>
      </c>
    </row>
    <row r="53" spans="4:22">
      <c r="F53" s="7"/>
      <c r="I53" s="215" t="s">
        <v>903</v>
      </c>
      <c r="V53" t="s">
        <v>1265</v>
      </c>
    </row>
    <row r="54" spans="4:22">
      <c r="F54" s="7"/>
      <c r="I54" s="215" t="s">
        <v>904</v>
      </c>
      <c r="V54" t="s">
        <v>1266</v>
      </c>
    </row>
    <row r="55" spans="4:22">
      <c r="D55" s="885"/>
      <c r="F55" s="7"/>
      <c r="I55" s="276" t="s">
        <v>905</v>
      </c>
      <c r="V55" t="s">
        <v>1267</v>
      </c>
    </row>
    <row r="56" spans="4:22">
      <c r="D56" s="885"/>
      <c r="F56" s="2"/>
      <c r="I56" s="276" t="s">
        <v>906</v>
      </c>
      <c r="V56" t="s">
        <v>1268</v>
      </c>
    </row>
    <row r="57" spans="4:22">
      <c r="D57" s="885"/>
      <c r="V57" t="s">
        <v>1269</v>
      </c>
    </row>
    <row r="58" spans="4:22">
      <c r="D58" s="885"/>
      <c r="V58" t="s">
        <v>1270</v>
      </c>
    </row>
    <row r="59" spans="4:22">
      <c r="D59" s="885"/>
      <c r="V59" t="s">
        <v>1271</v>
      </c>
    </row>
    <row r="60" spans="4:22">
      <c r="D60" s="885"/>
      <c r="V60" t="s">
        <v>1272</v>
      </c>
    </row>
    <row r="61" spans="4:22">
      <c r="D61" s="885"/>
      <c r="V61" t="s">
        <v>1273</v>
      </c>
    </row>
    <row r="62" spans="4:22">
      <c r="D62" s="885"/>
    </row>
    <row r="63" spans="4:22">
      <c r="D63" s="885"/>
    </row>
    <row r="64" spans="4:22">
      <c r="D64" s="7"/>
    </row>
    <row r="65" spans="4:4">
      <c r="D65" s="7"/>
    </row>
    <row r="66" spans="4:4">
      <c r="D66" s="7"/>
    </row>
    <row r="67" spans="4:4">
      <c r="D67" s="7"/>
    </row>
    <row r="68" spans="4:4">
      <c r="D68" s="7"/>
    </row>
    <row r="69" spans="4:4">
      <c r="D69" s="7"/>
    </row>
    <row r="70" spans="4:4">
      <c r="D70" s="7"/>
    </row>
    <row r="71" spans="4:4">
      <c r="D71" s="1023"/>
    </row>
    <row r="72" spans="4:4">
      <c r="D72" s="1023"/>
    </row>
    <row r="73" spans="4:4">
      <c r="D73" s="1023"/>
    </row>
    <row r="74" spans="4:4">
      <c r="D74" s="2"/>
    </row>
  </sheetData>
  <conditionalFormatting sqref="Z2:AA4 CB4 CD4:CE4 BG5:BL5 BX3 BO4:BZ4 BG7:BL7 BC6:BL6 BM5:BX6 BY5:CE7 CF4:CG6 Z5:AE7 AF4:AF6 AM5:AT7 AH5:AL6 AG5:AG7 AH4:AK4">
    <cfRule type="expression" dxfId="0" priority="1">
      <formula>"NA"</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dimension ref="A1:AC196"/>
  <sheetViews>
    <sheetView zoomScaleNormal="100" zoomScaleSheetLayoutView="55" workbookViewId="0">
      <pane ySplit="6" topLeftCell="A7" activePane="bottomLeft" state="frozen"/>
      <selection activeCell="A4" sqref="A4"/>
      <selection pane="bottomLeft"/>
    </sheetView>
  </sheetViews>
  <sheetFormatPr defaultColWidth="9.140625" defaultRowHeight="12.75"/>
  <cols>
    <col min="1" max="1" width="9.7109375" style="386" customWidth="1"/>
    <col min="2" max="2" width="25.7109375" style="386" customWidth="1"/>
    <col min="3" max="3" width="12.42578125" style="386" customWidth="1"/>
    <col min="4" max="4" width="12.7109375" style="386" customWidth="1"/>
    <col min="5" max="5" width="17.85546875" style="386" customWidth="1"/>
    <col min="6" max="6" width="36.7109375" style="386" customWidth="1"/>
    <col min="7" max="7" width="6.28515625" style="386" customWidth="1"/>
    <col min="8" max="16384" width="9.140625" style="386"/>
  </cols>
  <sheetData>
    <row r="1" spans="1:29" ht="24.95" customHeight="1">
      <c r="A1" s="387"/>
      <c r="B1" s="387"/>
      <c r="C1" s="324"/>
      <c r="D1" s="324"/>
      <c r="E1" s="324"/>
      <c r="F1" s="324"/>
      <c r="G1" s="324"/>
      <c r="H1" s="387"/>
      <c r="I1" s="387"/>
      <c r="J1" s="387"/>
      <c r="K1" s="387"/>
      <c r="L1" s="387"/>
      <c r="M1" s="387"/>
      <c r="N1" s="387"/>
      <c r="O1" s="387"/>
      <c r="P1" s="387"/>
      <c r="Q1" s="387"/>
      <c r="R1" s="387"/>
      <c r="S1" s="387"/>
      <c r="T1" s="387"/>
      <c r="U1" s="387"/>
      <c r="V1" s="387"/>
      <c r="W1" s="387"/>
      <c r="X1" s="387"/>
      <c r="Y1" s="387"/>
      <c r="Z1" s="387"/>
      <c r="AA1" s="387"/>
      <c r="AB1" s="387"/>
      <c r="AC1" s="387"/>
    </row>
    <row r="2" spans="1:29" ht="17.25" customHeight="1">
      <c r="A2" s="387"/>
      <c r="B2" s="387"/>
      <c r="C2" s="1362" t="s">
        <v>148</v>
      </c>
      <c r="D2" s="1362"/>
      <c r="E2" s="324"/>
      <c r="F2" s="324"/>
      <c r="G2" s="324"/>
      <c r="H2" s="387"/>
      <c r="I2" s="387"/>
      <c r="J2" s="387"/>
      <c r="K2" s="387"/>
      <c r="L2" s="387"/>
      <c r="M2" s="387"/>
      <c r="N2" s="387"/>
      <c r="O2" s="387"/>
      <c r="P2" s="387"/>
      <c r="Q2" s="387"/>
      <c r="R2" s="387"/>
      <c r="S2" s="387"/>
      <c r="T2" s="387"/>
      <c r="U2" s="387"/>
      <c r="V2" s="387"/>
      <c r="W2" s="387"/>
      <c r="X2" s="387"/>
      <c r="Y2" s="387"/>
      <c r="Z2" s="387"/>
      <c r="AA2" s="387"/>
      <c r="AB2" s="387"/>
      <c r="AC2" s="387"/>
    </row>
    <row r="3" spans="1:29" ht="14.25">
      <c r="A3" s="387"/>
      <c r="B3" s="387"/>
      <c r="C3" s="432"/>
      <c r="D3" s="432"/>
      <c r="E3" s="324"/>
      <c r="F3" s="324"/>
      <c r="G3" s="324"/>
      <c r="H3" s="387"/>
      <c r="I3" s="387"/>
      <c r="J3" s="387"/>
      <c r="K3" s="387"/>
      <c r="L3" s="387"/>
      <c r="M3" s="387"/>
      <c r="N3" s="387"/>
      <c r="O3" s="387"/>
      <c r="P3" s="387"/>
      <c r="Q3" s="387"/>
      <c r="R3" s="387"/>
      <c r="S3" s="387"/>
      <c r="T3" s="387"/>
      <c r="U3" s="387"/>
      <c r="V3" s="387"/>
      <c r="W3" s="387"/>
      <c r="X3" s="387"/>
      <c r="Y3" s="387"/>
      <c r="Z3" s="387"/>
      <c r="AA3" s="387"/>
      <c r="AB3" s="387"/>
      <c r="AC3" s="387"/>
    </row>
    <row r="4" spans="1:29" ht="15">
      <c r="A4" s="388" t="s">
        <v>713</v>
      </c>
      <c r="B4" s="387"/>
      <c r="C4" s="324"/>
      <c r="D4" s="324"/>
      <c r="E4" s="324"/>
      <c r="F4" s="324"/>
      <c r="G4" s="324"/>
      <c r="H4" s="387"/>
      <c r="I4" s="387"/>
      <c r="J4" s="387"/>
      <c r="K4" s="387"/>
      <c r="L4" s="387"/>
      <c r="M4" s="387"/>
      <c r="N4" s="387"/>
      <c r="O4" s="387"/>
      <c r="P4" s="387"/>
      <c r="Q4" s="387"/>
      <c r="R4" s="387"/>
      <c r="S4" s="387"/>
      <c r="T4" s="387"/>
      <c r="U4" s="387"/>
      <c r="V4" s="387"/>
      <c r="W4" s="387"/>
      <c r="X4" s="387"/>
      <c r="Y4" s="387"/>
      <c r="Z4" s="387"/>
      <c r="AA4" s="387"/>
      <c r="AB4" s="387"/>
      <c r="AC4" s="387"/>
    </row>
    <row r="5" spans="1:29">
      <c r="A5" s="387"/>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row>
    <row r="6" spans="1:29" ht="12.75" customHeight="1">
      <c r="A6" s="1355" t="s">
        <v>566</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row>
    <row r="7" spans="1:29">
      <c r="A7" s="399"/>
      <c r="B7" s="399"/>
      <c r="C7" s="399"/>
      <c r="D7" s="399"/>
      <c r="E7" s="399"/>
      <c r="F7" s="387"/>
      <c r="G7" s="387"/>
      <c r="H7" s="387"/>
      <c r="I7" s="387"/>
      <c r="J7" s="387"/>
      <c r="K7" s="387"/>
      <c r="L7" s="387"/>
      <c r="M7" s="387"/>
      <c r="N7" s="387"/>
      <c r="O7" s="387"/>
      <c r="P7" s="387"/>
      <c r="Q7" s="387"/>
      <c r="R7" s="387"/>
      <c r="S7" s="387"/>
      <c r="T7" s="387"/>
      <c r="U7" s="387"/>
      <c r="V7" s="387"/>
      <c r="W7" s="387"/>
      <c r="X7" s="387"/>
      <c r="Y7" s="387"/>
      <c r="Z7" s="387"/>
      <c r="AA7" s="387"/>
      <c r="AB7" s="387"/>
      <c r="AC7" s="387"/>
    </row>
    <row r="8" spans="1:29">
      <c r="A8" s="424" t="s">
        <v>567</v>
      </c>
      <c r="B8" s="425"/>
      <c r="C8" s="425"/>
      <c r="D8" s="425"/>
      <c r="E8" s="425"/>
      <c r="F8" s="426"/>
      <c r="G8" s="387"/>
      <c r="H8" s="387"/>
      <c r="I8" s="387"/>
      <c r="J8" s="387"/>
      <c r="K8" s="387"/>
      <c r="L8" s="387"/>
      <c r="M8" s="387"/>
      <c r="N8" s="387"/>
      <c r="O8" s="387"/>
      <c r="P8" s="387"/>
      <c r="Q8" s="387"/>
      <c r="R8" s="387"/>
      <c r="S8" s="387"/>
      <c r="T8" s="387"/>
      <c r="U8" s="387"/>
      <c r="V8" s="387"/>
      <c r="W8" s="387"/>
      <c r="X8" s="387"/>
      <c r="Y8" s="387"/>
      <c r="Z8" s="387"/>
      <c r="AA8" s="387"/>
      <c r="AB8" s="387"/>
      <c r="AC8" s="387"/>
    </row>
    <row r="9" spans="1:29" ht="92.25" customHeight="1">
      <c r="A9" s="1360" t="s">
        <v>1133</v>
      </c>
      <c r="B9" s="1360"/>
      <c r="C9" s="1360"/>
      <c r="D9" s="1360"/>
      <c r="E9" s="1360"/>
      <c r="F9" s="1360"/>
      <c r="G9" s="387"/>
      <c r="H9" s="387"/>
      <c r="I9" s="387"/>
      <c r="J9" s="387"/>
      <c r="K9" s="387"/>
      <c r="L9" s="387"/>
      <c r="M9" s="387"/>
      <c r="N9" s="387"/>
      <c r="O9" s="387"/>
      <c r="P9" s="387"/>
      <c r="Q9" s="387"/>
      <c r="R9" s="387"/>
      <c r="S9" s="387"/>
      <c r="T9" s="387"/>
      <c r="U9" s="387"/>
      <c r="V9" s="387"/>
      <c r="W9" s="387"/>
      <c r="X9" s="387"/>
      <c r="Y9" s="387"/>
      <c r="Z9" s="387"/>
      <c r="AA9" s="387"/>
      <c r="AB9" s="387"/>
      <c r="AC9" s="387"/>
    </row>
    <row r="10" spans="1:29">
      <c r="A10" s="586"/>
      <c r="B10" s="586"/>
      <c r="C10" s="586"/>
      <c r="D10" s="586"/>
      <c r="E10" s="586"/>
      <c r="F10" s="586"/>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row>
    <row r="11" spans="1:29">
      <c r="A11" s="396"/>
      <c r="B11" s="410" t="s">
        <v>755</v>
      </c>
      <c r="C11" s="407"/>
      <c r="D11" s="387"/>
      <c r="E11" s="410" t="s">
        <v>578</v>
      </c>
      <c r="F11" s="40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row>
    <row r="12" spans="1:29">
      <c r="A12" s="396"/>
      <c r="B12" s="1353" t="s">
        <v>569</v>
      </c>
      <c r="C12" s="1353"/>
      <c r="D12" s="387"/>
      <c r="E12" s="1353" t="s">
        <v>734</v>
      </c>
      <c r="F12" s="1353"/>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row>
    <row r="13" spans="1:29">
      <c r="A13" s="396"/>
      <c r="B13" s="1353" t="s">
        <v>568</v>
      </c>
      <c r="C13" s="1353"/>
      <c r="D13" s="387"/>
      <c r="E13" s="1353" t="s">
        <v>733</v>
      </c>
      <c r="F13" s="1353"/>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row>
    <row r="14" spans="1:29">
      <c r="A14" s="396"/>
      <c r="B14" s="1353" t="s">
        <v>714</v>
      </c>
      <c r="C14" s="1353"/>
      <c r="D14" s="387"/>
      <c r="E14" s="409" t="s">
        <v>579</v>
      </c>
      <c r="F14" s="40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row>
    <row r="15" spans="1:29">
      <c r="A15" s="399"/>
      <c r="B15" s="1353" t="s">
        <v>715</v>
      </c>
      <c r="C15" s="1353"/>
      <c r="D15" s="387"/>
      <c r="E15" s="1353" t="s">
        <v>735</v>
      </c>
      <c r="F15" s="1353"/>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row>
    <row r="16" spans="1:29">
      <c r="A16" s="399"/>
      <c r="B16" s="1353" t="s">
        <v>716</v>
      </c>
      <c r="C16" s="1353"/>
      <c r="D16" s="387"/>
      <c r="E16" s="1353" t="s">
        <v>736</v>
      </c>
      <c r="F16" s="1353"/>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row>
    <row r="17" spans="1:29">
      <c r="A17" s="399"/>
      <c r="B17" s="1353" t="s">
        <v>570</v>
      </c>
      <c r="C17" s="1353"/>
      <c r="D17" s="387"/>
      <c r="E17" s="409" t="s">
        <v>580</v>
      </c>
      <c r="F17" s="40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row>
    <row r="18" spans="1:29" ht="12.75" customHeight="1">
      <c r="A18" s="396"/>
      <c r="B18" s="409" t="s">
        <v>571</v>
      </c>
      <c r="C18" s="407"/>
      <c r="D18" s="387"/>
      <c r="E18" s="1353" t="s">
        <v>717</v>
      </c>
      <c r="F18" s="1353"/>
      <c r="G18" s="1353"/>
      <c r="H18" s="387"/>
      <c r="I18" s="387"/>
      <c r="J18" s="387"/>
      <c r="K18" s="387"/>
      <c r="L18" s="387"/>
      <c r="M18" s="387"/>
      <c r="N18" s="387"/>
      <c r="O18" s="387"/>
      <c r="P18" s="387"/>
      <c r="Q18" s="387"/>
      <c r="R18" s="387"/>
      <c r="S18" s="387"/>
      <c r="T18" s="387"/>
      <c r="U18" s="387"/>
      <c r="V18" s="387"/>
      <c r="W18" s="387"/>
      <c r="X18" s="387"/>
      <c r="Y18" s="387"/>
      <c r="Z18" s="387"/>
      <c r="AA18" s="387"/>
      <c r="AB18" s="387"/>
      <c r="AC18" s="387"/>
    </row>
    <row r="19" spans="1:29" ht="12.75" customHeight="1">
      <c r="A19" s="399"/>
      <c r="B19" s="1353" t="s">
        <v>717</v>
      </c>
      <c r="C19" s="1353"/>
      <c r="D19" s="1353"/>
      <c r="E19" s="1353" t="s">
        <v>718</v>
      </c>
      <c r="F19" s="1353"/>
      <c r="G19" s="1353"/>
      <c r="H19" s="387"/>
      <c r="I19" s="387"/>
      <c r="J19" s="387"/>
      <c r="K19" s="387"/>
      <c r="L19" s="387"/>
      <c r="M19" s="387"/>
      <c r="N19" s="387"/>
      <c r="O19" s="387"/>
      <c r="P19" s="387"/>
      <c r="Q19" s="387"/>
      <c r="R19" s="387"/>
      <c r="S19" s="387"/>
      <c r="T19" s="387"/>
      <c r="U19" s="387"/>
      <c r="V19" s="387"/>
      <c r="W19" s="387"/>
      <c r="X19" s="387"/>
      <c r="Y19" s="387"/>
      <c r="Z19" s="387"/>
      <c r="AA19" s="387"/>
      <c r="AB19" s="387"/>
      <c r="AC19" s="387"/>
    </row>
    <row r="20" spans="1:29" ht="12.75" customHeight="1">
      <c r="A20" s="399"/>
      <c r="B20" s="1353" t="s">
        <v>718</v>
      </c>
      <c r="C20" s="1353"/>
      <c r="D20" s="1353"/>
      <c r="E20" s="1353" t="s">
        <v>581</v>
      </c>
      <c r="F20" s="1353"/>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row>
    <row r="21" spans="1:29" ht="29.25" customHeight="1">
      <c r="A21" s="778"/>
      <c r="B21" s="1353" t="s">
        <v>1065</v>
      </c>
      <c r="C21" s="1353"/>
      <c r="D21" s="1353"/>
      <c r="E21" s="1353" t="s">
        <v>737</v>
      </c>
      <c r="F21" s="1353"/>
      <c r="G21" s="777"/>
      <c r="H21" s="777"/>
      <c r="I21" s="777"/>
      <c r="J21" s="387"/>
      <c r="K21" s="387"/>
      <c r="L21" s="387"/>
      <c r="M21" s="387"/>
      <c r="N21" s="387"/>
      <c r="O21" s="387"/>
      <c r="P21" s="387"/>
      <c r="Q21" s="387"/>
      <c r="R21" s="387"/>
      <c r="S21" s="387"/>
      <c r="T21" s="387"/>
      <c r="U21" s="387"/>
      <c r="V21" s="387"/>
      <c r="W21" s="387"/>
      <c r="X21" s="387"/>
      <c r="Y21" s="387"/>
      <c r="Z21" s="387"/>
      <c r="AA21" s="387"/>
      <c r="AB21" s="387"/>
      <c r="AC21" s="387"/>
    </row>
    <row r="22" spans="1:29" ht="12.75" customHeight="1">
      <c r="A22" s="396"/>
      <c r="B22" s="410" t="s">
        <v>719</v>
      </c>
      <c r="C22" s="407"/>
      <c r="D22" s="387"/>
      <c r="E22" s="1353" t="s">
        <v>738</v>
      </c>
      <c r="F22" s="1353"/>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row>
    <row r="23" spans="1:29" ht="12.75" customHeight="1">
      <c r="A23" s="396"/>
      <c r="B23" s="1353" t="s">
        <v>717</v>
      </c>
      <c r="C23" s="1353"/>
      <c r="D23" s="1353"/>
      <c r="E23" s="409" t="s">
        <v>332</v>
      </c>
      <c r="F23" s="40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row>
    <row r="24" spans="1:29" ht="12.75" customHeight="1">
      <c r="A24" s="399"/>
      <c r="B24" s="1353" t="s">
        <v>718</v>
      </c>
      <c r="C24" s="1353"/>
      <c r="D24" s="1353"/>
      <c r="E24" s="1353" t="s">
        <v>583</v>
      </c>
      <c r="F24" s="1353"/>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row>
    <row r="25" spans="1:29" ht="12.75" customHeight="1">
      <c r="A25" s="396"/>
      <c r="B25" s="410" t="s">
        <v>572</v>
      </c>
      <c r="C25" s="407"/>
      <c r="D25" s="387"/>
      <c r="E25" s="1353" t="s">
        <v>582</v>
      </c>
      <c r="F25" s="1353"/>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row>
    <row r="26" spans="1:29" ht="12.75" customHeight="1">
      <c r="A26" s="396"/>
      <c r="B26" s="1353" t="s">
        <v>573</v>
      </c>
      <c r="C26" s="1353"/>
      <c r="D26" s="1353"/>
      <c r="E26" s="409" t="s">
        <v>333</v>
      </c>
      <c r="F26" s="40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row>
    <row r="27" spans="1:29">
      <c r="A27" s="396"/>
      <c r="B27" s="1353" t="s">
        <v>574</v>
      </c>
      <c r="C27" s="1353"/>
      <c r="D27" s="387"/>
      <c r="E27" s="1353" t="s">
        <v>584</v>
      </c>
      <c r="F27" s="1353"/>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row>
    <row r="28" spans="1:29" ht="12.75" customHeight="1">
      <c r="A28" s="399"/>
      <c r="B28" s="1353" t="s">
        <v>575</v>
      </c>
      <c r="C28" s="1353"/>
      <c r="D28" s="387"/>
      <c r="E28" s="1353" t="s">
        <v>582</v>
      </c>
      <c r="F28" s="1353"/>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row>
    <row r="29" spans="1:29" ht="12.75" customHeight="1">
      <c r="A29" s="399"/>
      <c r="B29" s="1353" t="s">
        <v>720</v>
      </c>
      <c r="C29" s="1353"/>
      <c r="D29" s="387"/>
      <c r="E29" s="410" t="s">
        <v>153</v>
      </c>
      <c r="F29" s="40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row>
    <row r="30" spans="1:29">
      <c r="A30" s="396"/>
      <c r="B30" s="409" t="s">
        <v>576</v>
      </c>
      <c r="C30" s="407"/>
      <c r="D30" s="387"/>
      <c r="E30" s="1353" t="s">
        <v>702</v>
      </c>
      <c r="F30" s="1353"/>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row>
    <row r="31" spans="1:29" ht="12.75" customHeight="1">
      <c r="A31" s="396"/>
      <c r="B31" s="1353" t="s">
        <v>721</v>
      </c>
      <c r="C31" s="1353"/>
      <c r="D31" s="1353"/>
      <c r="E31" s="1353" t="s">
        <v>703</v>
      </c>
      <c r="F31" s="1353"/>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row>
    <row r="32" spans="1:29" ht="12.75" customHeight="1">
      <c r="A32" s="396"/>
      <c r="B32" s="1353" t="s">
        <v>723</v>
      </c>
      <c r="C32" s="1353"/>
      <c r="D32" s="1353"/>
      <c r="E32" s="1353" t="s">
        <v>704</v>
      </c>
      <c r="F32" s="1353"/>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row>
    <row r="33" spans="1:29" ht="12.75" customHeight="1">
      <c r="A33" s="399"/>
      <c r="B33" s="1353" t="s">
        <v>724</v>
      </c>
      <c r="C33" s="1353"/>
      <c r="D33" s="1353"/>
      <c r="E33" s="776"/>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row>
    <row r="34" spans="1:29">
      <c r="A34" s="396"/>
      <c r="B34" s="409" t="s">
        <v>577</v>
      </c>
      <c r="C34" s="407"/>
      <c r="D34" s="407"/>
      <c r="E34" s="40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row>
    <row r="35" spans="1:29" ht="12.75" customHeight="1">
      <c r="A35" s="396"/>
      <c r="B35" s="1353" t="s">
        <v>721</v>
      </c>
      <c r="C35" s="1353"/>
      <c r="D35" s="1353"/>
      <c r="E35" s="5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row>
    <row r="36" spans="1:29" ht="12.75" customHeight="1">
      <c r="A36" s="396"/>
      <c r="B36" s="1353" t="s">
        <v>725</v>
      </c>
      <c r="C36" s="1353"/>
      <c r="D36" s="1353"/>
      <c r="E36" s="5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row>
    <row r="37" spans="1:29" ht="12.75" customHeight="1">
      <c r="A37" s="399"/>
      <c r="B37" s="1353" t="s">
        <v>726</v>
      </c>
      <c r="C37" s="1353"/>
      <c r="D37" s="1353"/>
      <c r="E37" s="5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row>
    <row r="38" spans="1:29" ht="12.75" customHeight="1">
      <c r="A38" s="442"/>
      <c r="B38" s="1353" t="s">
        <v>727</v>
      </c>
      <c r="C38" s="1353"/>
      <c r="D38" s="1353"/>
      <c r="E38" s="443"/>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row>
    <row r="39" spans="1:29" ht="12.75" customHeight="1">
      <c r="A39" s="396"/>
      <c r="B39" s="387"/>
      <c r="C39" s="387"/>
      <c r="D39" s="407"/>
      <c r="E39" s="40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row>
    <row r="40" spans="1:29">
      <c r="A40" s="424" t="s">
        <v>596</v>
      </c>
      <c r="B40" s="425"/>
      <c r="C40" s="425"/>
      <c r="D40" s="425"/>
      <c r="E40" s="425"/>
      <c r="F40" s="426"/>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row>
    <row r="41" spans="1:29" ht="40.5" customHeight="1">
      <c r="A41" s="1365" t="s">
        <v>740</v>
      </c>
      <c r="B41" s="1365"/>
      <c r="C41" s="1365"/>
      <c r="D41" s="1365"/>
      <c r="E41" s="1365"/>
      <c r="F41" s="1365"/>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row>
    <row r="42" spans="1:29" ht="12.75" customHeight="1">
      <c r="A42" s="411"/>
      <c r="B42" s="387"/>
      <c r="C42" s="387"/>
      <c r="D42" s="408"/>
      <c r="E42" s="408"/>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row>
    <row r="43" spans="1:29" ht="12.75" customHeight="1">
      <c r="A43" s="396"/>
      <c r="B43" s="429" t="s">
        <v>585</v>
      </c>
      <c r="C43" s="422"/>
      <c r="D43" s="423"/>
      <c r="E43" s="423"/>
      <c r="F43" s="422"/>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row>
    <row r="44" spans="1:29">
      <c r="A44" s="396"/>
      <c r="B44" s="1364" t="s">
        <v>741</v>
      </c>
      <c r="C44" s="1364"/>
      <c r="D44" s="1364"/>
      <c r="E44" s="1364"/>
      <c r="F44" s="1364"/>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row>
    <row r="45" spans="1:29" ht="25.5" customHeight="1">
      <c r="A45" s="396"/>
      <c r="B45" s="1360" t="s">
        <v>743</v>
      </c>
      <c r="C45" s="1360"/>
      <c r="D45" s="1360"/>
      <c r="E45" s="1360"/>
      <c r="F45" s="1360"/>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row>
    <row r="46" spans="1:29">
      <c r="A46" s="396"/>
      <c r="B46" s="1360" t="s">
        <v>742</v>
      </c>
      <c r="C46" s="1360"/>
      <c r="D46" s="1360"/>
      <c r="E46" s="1360"/>
      <c r="F46" s="1360"/>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row>
    <row r="47" spans="1:29" ht="12.75" customHeight="1" thickBot="1">
      <c r="A47" s="396"/>
      <c r="B47" s="412"/>
      <c r="C47" s="387"/>
      <c r="D47" s="406"/>
      <c r="E47" s="406"/>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row>
    <row r="48" spans="1:29" ht="12.75" customHeight="1" thickBot="1">
      <c r="A48" s="396"/>
      <c r="B48" s="391" t="s">
        <v>592</v>
      </c>
      <c r="C48" s="1357" t="s">
        <v>646</v>
      </c>
      <c r="D48" s="1358"/>
      <c r="E48" s="1358"/>
      <c r="F48" s="1359"/>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row>
    <row r="49" spans="1:29" ht="12.75" customHeight="1" thickBot="1">
      <c r="A49" s="396"/>
      <c r="B49" s="619" t="s">
        <v>985</v>
      </c>
      <c r="C49" s="413" t="s">
        <v>599</v>
      </c>
      <c r="D49" s="414" t="s">
        <v>587</v>
      </c>
      <c r="E49" s="414" t="s">
        <v>588</v>
      </c>
      <c r="F49" s="415" t="s">
        <v>589</v>
      </c>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row>
    <row r="50" spans="1:29" ht="12.75" customHeight="1">
      <c r="A50" s="396"/>
      <c r="B50" s="416" t="s">
        <v>967</v>
      </c>
      <c r="C50" s="578">
        <v>8.6999999999999993</v>
      </c>
      <c r="D50" s="578">
        <v>10.3</v>
      </c>
      <c r="E50" s="578">
        <v>12.6</v>
      </c>
      <c r="F50" s="579">
        <v>10</v>
      </c>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row>
    <row r="51" spans="1:29" ht="12.75" customHeight="1">
      <c r="A51" s="396"/>
      <c r="B51" s="490" t="s">
        <v>968</v>
      </c>
      <c r="C51" s="580">
        <v>45</v>
      </c>
      <c r="D51" s="580">
        <v>50.5</v>
      </c>
      <c r="E51" s="580">
        <v>56.2</v>
      </c>
      <c r="F51" s="581">
        <v>42.7</v>
      </c>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row>
    <row r="52" spans="1:29" ht="12.75" customHeight="1">
      <c r="A52" s="396"/>
      <c r="B52" s="490" t="s">
        <v>969</v>
      </c>
      <c r="C52" s="580">
        <v>39.700000000000003</v>
      </c>
      <c r="D52" s="580">
        <v>43.1</v>
      </c>
      <c r="E52" s="580">
        <v>49.7</v>
      </c>
      <c r="F52" s="581">
        <v>41.1</v>
      </c>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row>
    <row r="53" spans="1:29" ht="12.75" customHeight="1">
      <c r="A53" s="396"/>
      <c r="B53" s="490" t="s">
        <v>970</v>
      </c>
      <c r="C53" s="580">
        <v>22</v>
      </c>
      <c r="D53" s="580">
        <v>25.1</v>
      </c>
      <c r="E53" s="580">
        <v>29.5</v>
      </c>
      <c r="F53" s="581">
        <v>24.6</v>
      </c>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row>
    <row r="54" spans="1:29" ht="12.75" customHeight="1">
      <c r="A54" s="396"/>
      <c r="B54" s="490" t="s">
        <v>971</v>
      </c>
      <c r="C54" s="580">
        <v>26.3</v>
      </c>
      <c r="D54" s="580">
        <v>28.9</v>
      </c>
      <c r="E54" s="580">
        <v>34.299999999999997</v>
      </c>
      <c r="F54" s="581">
        <v>32.5</v>
      </c>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row>
    <row r="55" spans="1:29" ht="12.75" customHeight="1">
      <c r="A55" s="396"/>
      <c r="B55" s="490" t="s">
        <v>972</v>
      </c>
      <c r="C55" s="580">
        <v>17.600000000000001</v>
      </c>
      <c r="D55" s="580">
        <v>20.100000000000001</v>
      </c>
      <c r="E55" s="580">
        <v>21.7</v>
      </c>
      <c r="F55" s="581">
        <v>14.3</v>
      </c>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row>
    <row r="56" spans="1:29" ht="12.75" customHeight="1">
      <c r="A56" s="396"/>
      <c r="B56" s="490" t="s">
        <v>973</v>
      </c>
      <c r="C56" s="580">
        <v>14</v>
      </c>
      <c r="D56" s="580">
        <v>15.4</v>
      </c>
      <c r="E56" s="580">
        <v>16.600000000000001</v>
      </c>
      <c r="F56" s="581">
        <v>14.1</v>
      </c>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row>
    <row r="57" spans="1:29" ht="12.75" customHeight="1">
      <c r="A57" s="396"/>
      <c r="B57" s="490" t="s">
        <v>974</v>
      </c>
      <c r="C57" s="580">
        <v>16.3</v>
      </c>
      <c r="D57" s="580">
        <v>17.5</v>
      </c>
      <c r="E57" s="580">
        <v>19.7</v>
      </c>
      <c r="F57" s="581">
        <v>17.600000000000001</v>
      </c>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row>
    <row r="58" spans="1:29" ht="12.75" customHeight="1">
      <c r="A58" s="396"/>
      <c r="B58" s="490" t="s">
        <v>975</v>
      </c>
      <c r="C58" s="580">
        <v>12.8</v>
      </c>
      <c r="D58" s="580">
        <v>14.1</v>
      </c>
      <c r="E58" s="580">
        <v>16.3</v>
      </c>
      <c r="F58" s="581">
        <v>15.8</v>
      </c>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row>
    <row r="59" spans="1:29" ht="12.75" customHeight="1">
      <c r="A59" s="396"/>
      <c r="B59" s="490" t="s">
        <v>976</v>
      </c>
      <c r="C59" s="580">
        <v>19.899999999999999</v>
      </c>
      <c r="D59" s="580">
        <v>21.4</v>
      </c>
      <c r="E59" s="580">
        <v>22.5</v>
      </c>
      <c r="F59" s="581">
        <v>19.100000000000001</v>
      </c>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row>
    <row r="60" spans="1:29" ht="12.75" customHeight="1">
      <c r="A60" s="396"/>
      <c r="B60" s="490" t="s">
        <v>300</v>
      </c>
      <c r="C60" s="580">
        <v>17.100000000000001</v>
      </c>
      <c r="D60" s="580">
        <v>15.3</v>
      </c>
      <c r="E60" s="580">
        <v>16</v>
      </c>
      <c r="F60" s="581">
        <v>14.9</v>
      </c>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row>
    <row r="61" spans="1:29" ht="12.75" customHeight="1">
      <c r="A61" s="396"/>
      <c r="B61" s="490" t="s">
        <v>977</v>
      </c>
      <c r="C61" s="580">
        <v>14.1</v>
      </c>
      <c r="D61" s="580">
        <v>13.2</v>
      </c>
      <c r="E61" s="580">
        <v>16.3</v>
      </c>
      <c r="F61" s="581">
        <v>13.2</v>
      </c>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row>
    <row r="62" spans="1:29" ht="12.75" customHeight="1">
      <c r="A62" s="396"/>
      <c r="B62" s="490" t="s">
        <v>978</v>
      </c>
      <c r="C62" s="580">
        <v>15.1</v>
      </c>
      <c r="D62" s="580">
        <v>10.3</v>
      </c>
      <c r="E62" s="580">
        <v>18.3</v>
      </c>
      <c r="F62" s="581" t="s">
        <v>984</v>
      </c>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row>
    <row r="63" spans="1:29" ht="12.75" customHeight="1">
      <c r="A63" s="396"/>
      <c r="B63" s="490" t="s">
        <v>979</v>
      </c>
      <c r="C63" s="580">
        <v>4.5</v>
      </c>
      <c r="D63" s="580">
        <v>4.5</v>
      </c>
      <c r="E63" s="580">
        <v>6.1</v>
      </c>
      <c r="F63" s="581">
        <v>4.7</v>
      </c>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row>
    <row r="64" spans="1:29" ht="12.75" customHeight="1">
      <c r="A64" s="396"/>
      <c r="B64" s="490" t="s">
        <v>980</v>
      </c>
      <c r="C64" s="580">
        <v>6.6</v>
      </c>
      <c r="D64" s="580">
        <v>7.3</v>
      </c>
      <c r="E64" s="580">
        <v>9.8000000000000007</v>
      </c>
      <c r="F64" s="581">
        <v>8.8000000000000007</v>
      </c>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row>
    <row r="65" spans="1:29" ht="12.75" customHeight="1">
      <c r="A65" s="399"/>
      <c r="B65" s="490" t="s">
        <v>981</v>
      </c>
      <c r="C65" s="580">
        <v>4.9000000000000004</v>
      </c>
      <c r="D65" s="580">
        <v>6.6</v>
      </c>
      <c r="E65" s="580">
        <v>8.4</v>
      </c>
      <c r="F65" s="581">
        <v>4.8</v>
      </c>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row>
    <row r="66" spans="1:29" ht="12.75" customHeight="1">
      <c r="A66" s="396"/>
      <c r="B66" s="490" t="s">
        <v>982</v>
      </c>
      <c r="C66" s="580">
        <v>43.2</v>
      </c>
      <c r="D66" s="580">
        <v>20.2</v>
      </c>
      <c r="E66" s="580">
        <v>32</v>
      </c>
      <c r="F66" s="581">
        <v>20.3</v>
      </c>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row>
    <row r="67" spans="1:29" ht="12.75" customHeight="1" thickBot="1">
      <c r="A67" s="399"/>
      <c r="B67" s="419" t="s">
        <v>983</v>
      </c>
      <c r="C67" s="582" t="s">
        <v>984</v>
      </c>
      <c r="D67" s="582">
        <v>5.3</v>
      </c>
      <c r="E67" s="582">
        <v>4</v>
      </c>
      <c r="F67" s="583">
        <v>5.6</v>
      </c>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row>
    <row r="68" spans="1:29" ht="12.75" customHeight="1" thickBot="1">
      <c r="A68" s="778"/>
      <c r="B68" s="420"/>
      <c r="C68" s="825"/>
      <c r="D68" s="825"/>
      <c r="E68" s="825"/>
      <c r="F68" s="826"/>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row>
    <row r="69" spans="1:29" ht="12.75" customHeight="1" thickBot="1">
      <c r="A69" s="399"/>
      <c r="B69" s="391" t="s">
        <v>593</v>
      </c>
      <c r="C69" s="1357" t="s">
        <v>647</v>
      </c>
      <c r="D69" s="1358"/>
      <c r="E69" s="1358"/>
      <c r="F69" s="1359"/>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row>
    <row r="70" spans="1:29" ht="12.75" customHeight="1" thickBot="1">
      <c r="A70" s="399"/>
      <c r="B70" s="619" t="s">
        <v>985</v>
      </c>
      <c r="C70" s="413" t="s">
        <v>599</v>
      </c>
      <c r="D70" s="414" t="s">
        <v>587</v>
      </c>
      <c r="E70" s="414" t="s">
        <v>588</v>
      </c>
      <c r="F70" s="415" t="s">
        <v>589</v>
      </c>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row>
    <row r="71" spans="1:29" ht="12.75" customHeight="1">
      <c r="A71" s="399"/>
      <c r="B71" s="416" t="s">
        <v>967</v>
      </c>
      <c r="C71" s="578">
        <v>46.6</v>
      </c>
      <c r="D71" s="578">
        <v>38.799999999999997</v>
      </c>
      <c r="E71" s="578">
        <v>16.5</v>
      </c>
      <c r="F71" s="579">
        <v>27.9</v>
      </c>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row>
    <row r="72" spans="1:29" ht="12.75" customHeight="1">
      <c r="A72" s="778"/>
      <c r="B72" s="490" t="s">
        <v>968</v>
      </c>
      <c r="C72" s="580" t="s">
        <v>984</v>
      </c>
      <c r="D72" s="580" t="s">
        <v>984</v>
      </c>
      <c r="E72" s="580">
        <v>59.1</v>
      </c>
      <c r="F72" s="581" t="s">
        <v>984</v>
      </c>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row>
    <row r="73" spans="1:29" ht="12.75" customHeight="1">
      <c r="A73" s="778"/>
      <c r="B73" s="490" t="s">
        <v>969</v>
      </c>
      <c r="C73" s="580">
        <v>130.69999999999999</v>
      </c>
      <c r="D73" s="580">
        <v>162.4</v>
      </c>
      <c r="E73" s="580">
        <v>178</v>
      </c>
      <c r="F73" s="581">
        <v>139.69999999999999</v>
      </c>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row>
    <row r="74" spans="1:29" ht="12.75" customHeight="1">
      <c r="A74" s="778"/>
      <c r="B74" s="490" t="s">
        <v>970</v>
      </c>
      <c r="C74" s="580">
        <v>68.8</v>
      </c>
      <c r="D74" s="580">
        <v>85.7</v>
      </c>
      <c r="E74" s="580">
        <v>77</v>
      </c>
      <c r="F74" s="581">
        <v>86</v>
      </c>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row>
    <row r="75" spans="1:29" ht="12.75" customHeight="1">
      <c r="A75" s="778"/>
      <c r="B75" s="490" t="s">
        <v>971</v>
      </c>
      <c r="C75" s="580">
        <v>107.4</v>
      </c>
      <c r="D75" s="580">
        <v>111.7</v>
      </c>
      <c r="E75" s="580">
        <v>88.3</v>
      </c>
      <c r="F75" s="581">
        <v>109</v>
      </c>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row>
    <row r="76" spans="1:29" ht="12.75" customHeight="1">
      <c r="A76" s="778"/>
      <c r="B76" s="490" t="s">
        <v>972</v>
      </c>
      <c r="C76" s="580">
        <v>33.1</v>
      </c>
      <c r="D76" s="580">
        <v>48</v>
      </c>
      <c r="E76" s="580">
        <v>24.8</v>
      </c>
      <c r="F76" s="581">
        <v>45.2</v>
      </c>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row>
    <row r="77" spans="1:29" ht="12.75" customHeight="1">
      <c r="A77" s="778"/>
      <c r="B77" s="490" t="s">
        <v>973</v>
      </c>
      <c r="C77" s="580">
        <v>43.9</v>
      </c>
      <c r="D77" s="580">
        <v>49.3</v>
      </c>
      <c r="E77" s="580">
        <v>33.1</v>
      </c>
      <c r="F77" s="581">
        <v>56.3</v>
      </c>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row>
    <row r="78" spans="1:29" ht="12.75" customHeight="1">
      <c r="A78" s="778"/>
      <c r="B78" s="490" t="s">
        <v>974</v>
      </c>
      <c r="C78" s="580">
        <v>40.4</v>
      </c>
      <c r="D78" s="580">
        <v>43</v>
      </c>
      <c r="E78" s="580">
        <v>26.1</v>
      </c>
      <c r="F78" s="581">
        <v>31.4</v>
      </c>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row>
    <row r="79" spans="1:29" ht="12.75" customHeight="1">
      <c r="A79" s="778"/>
      <c r="B79" s="490" t="s">
        <v>975</v>
      </c>
      <c r="C79" s="580">
        <v>25.1</v>
      </c>
      <c r="D79" s="580">
        <v>33.9</v>
      </c>
      <c r="E79" s="580">
        <v>15.1</v>
      </c>
      <c r="F79" s="581">
        <v>15.2</v>
      </c>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row>
    <row r="80" spans="1:29" ht="12.75" customHeight="1">
      <c r="A80" s="778"/>
      <c r="B80" s="490" t="s">
        <v>976</v>
      </c>
      <c r="C80" s="580">
        <v>50.3</v>
      </c>
      <c r="D80" s="580">
        <v>50.9</v>
      </c>
      <c r="E80" s="580">
        <v>31.2</v>
      </c>
      <c r="F80" s="581">
        <v>44.4</v>
      </c>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row>
    <row r="81" spans="1:29" ht="12.75" customHeight="1">
      <c r="A81" s="778"/>
      <c r="B81" s="490" t="s">
        <v>300</v>
      </c>
      <c r="C81" s="580">
        <v>34.299999999999997</v>
      </c>
      <c r="D81" s="580">
        <v>33.200000000000003</v>
      </c>
      <c r="E81" s="580">
        <v>17.2</v>
      </c>
      <c r="F81" s="581">
        <v>22.2</v>
      </c>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row>
    <row r="82" spans="1:29" ht="12.75" customHeight="1">
      <c r="A82" s="778"/>
      <c r="B82" s="490" t="s">
        <v>977</v>
      </c>
      <c r="C82" s="580">
        <v>42.6</v>
      </c>
      <c r="D82" s="580">
        <v>40.5</v>
      </c>
      <c r="E82" s="580">
        <v>26</v>
      </c>
      <c r="F82" s="581">
        <v>26.7</v>
      </c>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row>
    <row r="83" spans="1:29" ht="12.75" customHeight="1">
      <c r="A83" s="778"/>
      <c r="B83" s="490" t="s">
        <v>978</v>
      </c>
      <c r="C83" s="580" t="s">
        <v>984</v>
      </c>
      <c r="D83" s="580" t="s">
        <v>984</v>
      </c>
      <c r="E83" s="580">
        <v>23.4</v>
      </c>
      <c r="F83" s="581" t="s">
        <v>984</v>
      </c>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row>
    <row r="84" spans="1:29" ht="12.75" customHeight="1">
      <c r="A84" s="778"/>
      <c r="B84" s="490" t="s">
        <v>979</v>
      </c>
      <c r="C84" s="580">
        <v>25.8</v>
      </c>
      <c r="D84" s="580">
        <v>38.9</v>
      </c>
      <c r="E84" s="580">
        <v>22.2</v>
      </c>
      <c r="F84" s="581">
        <v>29.1</v>
      </c>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row>
    <row r="85" spans="1:29" ht="12.75" customHeight="1">
      <c r="A85" s="778"/>
      <c r="B85" s="490" t="s">
        <v>980</v>
      </c>
      <c r="C85" s="580">
        <v>64.8</v>
      </c>
      <c r="D85" s="580">
        <v>38.1</v>
      </c>
      <c r="E85" s="580">
        <v>44.6</v>
      </c>
      <c r="F85" s="581">
        <v>35.299999999999997</v>
      </c>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row>
    <row r="86" spans="1:29" ht="12.75" customHeight="1">
      <c r="A86" s="396"/>
      <c r="B86" s="490" t="s">
        <v>981</v>
      </c>
      <c r="C86" s="580">
        <v>27.6</v>
      </c>
      <c r="D86" s="580">
        <v>20.3</v>
      </c>
      <c r="E86" s="580">
        <v>11.3</v>
      </c>
      <c r="F86" s="581">
        <v>25.5</v>
      </c>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row>
    <row r="87" spans="1:29" ht="12.75" customHeight="1">
      <c r="A87" s="399"/>
      <c r="B87" s="490" t="s">
        <v>982</v>
      </c>
      <c r="C87" s="580" t="s">
        <v>984</v>
      </c>
      <c r="D87" s="580" t="s">
        <v>984</v>
      </c>
      <c r="E87" s="580">
        <v>41.6</v>
      </c>
      <c r="F87" s="581">
        <v>74</v>
      </c>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row>
    <row r="88" spans="1:29" ht="12.75" customHeight="1" thickBot="1">
      <c r="A88" s="399"/>
      <c r="B88" s="419" t="s">
        <v>983</v>
      </c>
      <c r="C88" s="582" t="s">
        <v>984</v>
      </c>
      <c r="D88" s="582" t="s">
        <v>984</v>
      </c>
      <c r="E88" s="582" t="s">
        <v>984</v>
      </c>
      <c r="F88" s="583" t="s">
        <v>984</v>
      </c>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row>
    <row r="89" spans="1:29" ht="12.75" customHeight="1" thickBot="1">
      <c r="A89" s="778"/>
      <c r="B89" s="420"/>
      <c r="C89" s="825"/>
      <c r="D89" s="825"/>
      <c r="E89" s="825"/>
      <c r="F89" s="826"/>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row>
    <row r="90" spans="1:29" ht="12.75" customHeight="1" thickBot="1">
      <c r="A90" s="396"/>
      <c r="B90" s="391" t="s">
        <v>594</v>
      </c>
      <c r="C90" s="1357" t="s">
        <v>648</v>
      </c>
      <c r="D90" s="1358"/>
      <c r="E90" s="1358"/>
      <c r="F90" s="1359"/>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row>
    <row r="91" spans="1:29" ht="12.75" customHeight="1" thickBot="1">
      <c r="A91" s="399"/>
      <c r="B91" s="619" t="s">
        <v>985</v>
      </c>
      <c r="C91" s="413" t="s">
        <v>599</v>
      </c>
      <c r="D91" s="414" t="s">
        <v>587</v>
      </c>
      <c r="E91" s="414" t="s">
        <v>588</v>
      </c>
      <c r="F91" s="415" t="s">
        <v>589</v>
      </c>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row>
    <row r="92" spans="1:29" ht="12.75" customHeight="1">
      <c r="A92" s="399"/>
      <c r="B92" s="416" t="s">
        <v>967</v>
      </c>
      <c r="C92" s="417">
        <v>0.15</v>
      </c>
      <c r="D92" s="417">
        <v>0.02</v>
      </c>
      <c r="E92" s="417">
        <v>0.09</v>
      </c>
      <c r="F92" s="418" t="s">
        <v>984</v>
      </c>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row>
    <row r="93" spans="1:29">
      <c r="A93" s="387"/>
      <c r="B93" s="490" t="s">
        <v>970</v>
      </c>
      <c r="C93" s="491">
        <v>0.15</v>
      </c>
      <c r="D93" s="491">
        <v>0.02</v>
      </c>
      <c r="E93" s="491">
        <v>0.02</v>
      </c>
      <c r="F93" s="492">
        <v>0.02</v>
      </c>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row>
    <row r="94" spans="1:29">
      <c r="A94" s="387"/>
      <c r="B94" s="490" t="s">
        <v>300</v>
      </c>
      <c r="C94" s="827">
        <v>0.06</v>
      </c>
      <c r="D94" s="827">
        <v>0.01</v>
      </c>
      <c r="E94" s="827">
        <v>0.01</v>
      </c>
      <c r="F94" s="828">
        <v>0.01</v>
      </c>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row>
    <row r="95" spans="1:29" ht="13.5" thickBot="1">
      <c r="A95" s="387"/>
      <c r="B95" s="419" t="s">
        <v>595</v>
      </c>
      <c r="C95" s="829">
        <v>0.11</v>
      </c>
      <c r="D95" s="829">
        <v>0.04</v>
      </c>
      <c r="E95" s="829">
        <v>0.02</v>
      </c>
      <c r="F95" s="830">
        <v>0.02</v>
      </c>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row>
    <row r="96" spans="1:29">
      <c r="A96" s="387"/>
      <c r="B96" s="685" t="s">
        <v>1036</v>
      </c>
      <c r="C96" s="831"/>
      <c r="D96" s="831"/>
      <c r="E96" s="831"/>
      <c r="F96" s="831"/>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row>
    <row r="97" spans="1:29" ht="15">
      <c r="A97" s="387"/>
      <c r="B97" s="428" t="s">
        <v>336</v>
      </c>
      <c r="C97" s="421"/>
      <c r="D97" s="421"/>
      <c r="E97" s="421"/>
      <c r="F97" s="421"/>
      <c r="G97" s="421"/>
      <c r="H97" s="421"/>
      <c r="I97" s="421"/>
      <c r="J97" s="421"/>
      <c r="K97" s="421"/>
      <c r="L97" s="421"/>
      <c r="M97" s="387"/>
      <c r="N97" s="387"/>
      <c r="O97" s="387"/>
      <c r="P97" s="387"/>
      <c r="Q97" s="387"/>
      <c r="R97" s="387"/>
      <c r="S97" s="387"/>
      <c r="T97" s="387"/>
      <c r="U97" s="387"/>
      <c r="V97" s="387"/>
      <c r="W97" s="387"/>
      <c r="X97" s="387"/>
      <c r="Y97" s="387"/>
      <c r="Z97" s="387"/>
      <c r="AA97" s="387"/>
      <c r="AB97" s="387"/>
      <c r="AC97" s="387"/>
    </row>
    <row r="98" spans="1:29" ht="21.75" customHeight="1">
      <c r="A98" s="387"/>
      <c r="B98" s="1363" t="s">
        <v>989</v>
      </c>
      <c r="C98" s="1363"/>
      <c r="D98" s="1363"/>
      <c r="E98" s="1363"/>
      <c r="F98" s="1363"/>
      <c r="G98" s="427"/>
      <c r="H98" s="421"/>
      <c r="I98" s="421"/>
      <c r="J98" s="421"/>
      <c r="K98" s="421"/>
      <c r="L98" s="387"/>
      <c r="M98" s="387"/>
      <c r="N98" s="387"/>
      <c r="O98" s="387"/>
      <c r="P98" s="387"/>
      <c r="Q98" s="387"/>
      <c r="R98" s="387"/>
      <c r="S98" s="387"/>
      <c r="T98" s="387"/>
      <c r="U98" s="387"/>
      <c r="V98" s="387"/>
      <c r="W98" s="387"/>
      <c r="X98" s="387"/>
      <c r="Y98" s="387"/>
      <c r="Z98" s="387"/>
      <c r="AA98" s="387"/>
      <c r="AB98" s="387"/>
      <c r="AC98" s="387"/>
    </row>
    <row r="99" spans="1:29">
      <c r="A99" s="387"/>
      <c r="B99" s="428" t="s">
        <v>990</v>
      </c>
      <c r="C99" s="428"/>
      <c r="D99" s="428"/>
      <c r="E99" s="428"/>
      <c r="F99" s="428"/>
      <c r="G99" s="395"/>
      <c r="H99" s="395"/>
      <c r="I99" s="395"/>
      <c r="J99" s="395"/>
      <c r="K99" s="395"/>
      <c r="L99" s="395"/>
      <c r="M99" s="387"/>
      <c r="N99" s="387"/>
      <c r="O99" s="387"/>
      <c r="P99" s="387"/>
      <c r="Q99" s="387"/>
      <c r="R99" s="387"/>
      <c r="S99" s="387"/>
      <c r="T99" s="387"/>
      <c r="U99" s="387"/>
      <c r="V99" s="387"/>
      <c r="W99" s="387"/>
      <c r="X99" s="387"/>
      <c r="Y99" s="387"/>
      <c r="Z99" s="387"/>
      <c r="AA99" s="387"/>
      <c r="AB99" s="387"/>
      <c r="AC99" s="387"/>
    </row>
    <row r="100" spans="1:29">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row>
    <row r="101" spans="1:29">
      <c r="A101" s="387"/>
      <c r="B101" s="429" t="s">
        <v>744</v>
      </c>
      <c r="C101" s="422"/>
      <c r="D101" s="422"/>
      <c r="E101" s="422"/>
      <c r="F101" s="422"/>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row>
    <row r="102" spans="1:29">
      <c r="A102" s="387"/>
      <c r="B102" s="412" t="s">
        <v>745</v>
      </c>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row>
    <row r="103" spans="1:29" ht="25.5" customHeight="1">
      <c r="A103" s="387"/>
      <c r="B103" s="1361" t="s">
        <v>747</v>
      </c>
      <c r="C103" s="1202"/>
      <c r="D103" s="1202"/>
      <c r="E103" s="1202"/>
      <c r="F103" s="1202"/>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row>
    <row r="104" spans="1:29" ht="25.5" customHeight="1">
      <c r="A104" s="387"/>
      <c r="B104" s="1361" t="s">
        <v>746</v>
      </c>
      <c r="C104" s="1202"/>
      <c r="D104" s="1202"/>
      <c r="E104" s="1202"/>
      <c r="F104" s="1202"/>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row>
    <row r="105" spans="1:29">
      <c r="A105" s="387"/>
      <c r="B105" s="1356" t="s">
        <v>748</v>
      </c>
      <c r="C105" s="1356"/>
      <c r="D105" s="1356"/>
      <c r="E105" s="1356"/>
      <c r="F105" s="1356"/>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row>
    <row r="106" spans="1:29">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row>
    <row r="107" spans="1:29">
      <c r="A107" s="387"/>
      <c r="B107" s="429" t="s">
        <v>756</v>
      </c>
      <c r="C107" s="422"/>
      <c r="D107" s="422"/>
      <c r="E107" s="422"/>
      <c r="F107" s="422"/>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row>
    <row r="108" spans="1:29">
      <c r="A108" s="387"/>
      <c r="B108" s="412" t="s">
        <v>597</v>
      </c>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row>
    <row r="109" spans="1:29">
      <c r="A109" s="387"/>
      <c r="B109" s="395" t="s">
        <v>649</v>
      </c>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row>
    <row r="110" spans="1:29">
      <c r="A110" s="387"/>
      <c r="B110" s="387" t="s">
        <v>598</v>
      </c>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row>
    <row r="111" spans="1:29" ht="25.5" customHeight="1">
      <c r="A111" s="387"/>
      <c r="B111" s="1356" t="s">
        <v>650</v>
      </c>
      <c r="C111" s="1356"/>
      <c r="D111" s="1356"/>
      <c r="E111" s="1356"/>
      <c r="F111" s="1356"/>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row>
    <row r="112" spans="1:29">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row>
    <row r="113" spans="1:29">
      <c r="A113" s="387"/>
      <c r="B113" s="429" t="s">
        <v>1037</v>
      </c>
      <c r="C113" s="422"/>
      <c r="D113" s="422"/>
      <c r="E113" s="422"/>
      <c r="F113" s="422"/>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row>
    <row r="114" spans="1:29" s="387" customFormat="1">
      <c r="B114" s="832"/>
    </row>
    <row r="115" spans="1:29">
      <c r="A115" s="387"/>
      <c r="B115" s="494" t="s">
        <v>586</v>
      </c>
      <c r="C115" s="782" t="s">
        <v>167</v>
      </c>
      <c r="D115" s="395"/>
      <c r="E115" s="782"/>
      <c r="F115" s="782" t="s">
        <v>1021</v>
      </c>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row>
    <row r="116" spans="1:29" ht="111.75" customHeight="1">
      <c r="A116" s="387"/>
      <c r="B116" s="837" t="s">
        <v>967</v>
      </c>
      <c r="C116" s="1354" t="s">
        <v>991</v>
      </c>
      <c r="D116" s="1354"/>
      <c r="E116" s="1354"/>
      <c r="F116" s="838" t="s">
        <v>1022</v>
      </c>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row>
    <row r="117" spans="1:29" ht="38.25">
      <c r="A117" s="387"/>
      <c r="B117" s="837" t="s">
        <v>992</v>
      </c>
      <c r="C117" s="1354" t="s">
        <v>993</v>
      </c>
      <c r="D117" s="1354"/>
      <c r="E117" s="1354"/>
      <c r="F117" s="838" t="s">
        <v>1035</v>
      </c>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row>
    <row r="118" spans="1:29" ht="51">
      <c r="A118" s="387"/>
      <c r="B118" s="837" t="s">
        <v>994</v>
      </c>
      <c r="C118" s="1354" t="s">
        <v>995</v>
      </c>
      <c r="D118" s="1354"/>
      <c r="E118" s="1354"/>
      <c r="F118" s="838" t="s">
        <v>1034</v>
      </c>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row>
    <row r="119" spans="1:29">
      <c r="A119" s="387"/>
      <c r="B119" s="837" t="s">
        <v>996</v>
      </c>
      <c r="C119" s="1354" t="s">
        <v>997</v>
      </c>
      <c r="D119" s="1354"/>
      <c r="E119" s="1354"/>
      <c r="F119" s="838" t="s">
        <v>1033</v>
      </c>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row>
    <row r="120" spans="1:29" ht="38.25">
      <c r="A120" s="387"/>
      <c r="B120" s="837" t="s">
        <v>998</v>
      </c>
      <c r="C120" s="1354" t="s">
        <v>999</v>
      </c>
      <c r="D120" s="1354"/>
      <c r="E120" s="1354"/>
      <c r="F120" s="838" t="s">
        <v>1032</v>
      </c>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row>
    <row r="121" spans="1:29" ht="63.75">
      <c r="A121" s="387"/>
      <c r="B121" s="837" t="s">
        <v>1000</v>
      </c>
      <c r="C121" s="1354" t="s">
        <v>1001</v>
      </c>
      <c r="D121" s="1354"/>
      <c r="E121" s="1354"/>
      <c r="F121" s="838" t="s">
        <v>1031</v>
      </c>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row>
    <row r="122" spans="1:29" ht="38.25">
      <c r="A122" s="387"/>
      <c r="B122" s="837" t="s">
        <v>1002</v>
      </c>
      <c r="C122" s="1354" t="s">
        <v>1003</v>
      </c>
      <c r="D122" s="1354"/>
      <c r="E122" s="1354"/>
      <c r="F122" s="838" t="s">
        <v>1030</v>
      </c>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row>
    <row r="123" spans="1:29" ht="24">
      <c r="A123" s="387"/>
      <c r="B123" s="837" t="s">
        <v>1004</v>
      </c>
      <c r="C123" s="1354" t="s">
        <v>1005</v>
      </c>
      <c r="D123" s="1354"/>
      <c r="E123" s="1354"/>
      <c r="F123" s="838" t="s">
        <v>1029</v>
      </c>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row>
    <row r="124" spans="1:29" ht="102">
      <c r="A124" s="387"/>
      <c r="B124" s="837" t="s">
        <v>590</v>
      </c>
      <c r="C124" s="1354" t="s">
        <v>1006</v>
      </c>
      <c r="D124" s="1354"/>
      <c r="E124" s="1354"/>
      <c r="F124" s="838" t="s">
        <v>1028</v>
      </c>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row>
    <row r="125" spans="1:29" ht="140.25">
      <c r="A125" s="387"/>
      <c r="B125" s="837" t="s">
        <v>1007</v>
      </c>
      <c r="C125" s="1354" t="s">
        <v>1008</v>
      </c>
      <c r="D125" s="1354"/>
      <c r="E125" s="1354"/>
      <c r="F125" s="838" t="s">
        <v>1027</v>
      </c>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row>
    <row r="126" spans="1:29" ht="38.25">
      <c r="A126" s="387"/>
      <c r="B126" s="837" t="s">
        <v>1009</v>
      </c>
      <c r="C126" s="1354" t="s">
        <v>1010</v>
      </c>
      <c r="D126" s="1354"/>
      <c r="E126" s="1354"/>
      <c r="F126" s="838" t="s">
        <v>1026</v>
      </c>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row>
    <row r="127" spans="1:29">
      <c r="A127" s="387"/>
      <c r="B127" s="837" t="s">
        <v>1011</v>
      </c>
      <c r="C127" s="1354" t="s">
        <v>1012</v>
      </c>
      <c r="D127" s="1354"/>
      <c r="E127" s="1354"/>
      <c r="F127" s="838" t="s">
        <v>1013</v>
      </c>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row>
    <row r="128" spans="1:29" ht="89.25">
      <c r="A128" s="387"/>
      <c r="B128" s="837" t="s">
        <v>1014</v>
      </c>
      <c r="C128" s="1354" t="s">
        <v>1015</v>
      </c>
      <c r="D128" s="1354"/>
      <c r="E128" s="1354"/>
      <c r="F128" s="838" t="s">
        <v>1025</v>
      </c>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row>
    <row r="129" spans="1:29" ht="25.5">
      <c r="A129" s="387"/>
      <c r="B129" s="837" t="s">
        <v>591</v>
      </c>
      <c r="C129" s="1354" t="s">
        <v>1016</v>
      </c>
      <c r="D129" s="1354"/>
      <c r="E129" s="1354"/>
      <c r="F129" s="838" t="s">
        <v>1024</v>
      </c>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row>
    <row r="130" spans="1:29" ht="93" customHeight="1">
      <c r="A130" s="387"/>
      <c r="B130" s="837" t="s">
        <v>158</v>
      </c>
      <c r="C130" s="1354" t="s">
        <v>1017</v>
      </c>
      <c r="D130" s="1354"/>
      <c r="E130" s="1354"/>
      <c r="F130" s="838" t="s">
        <v>1023</v>
      </c>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row>
    <row r="131" spans="1:29" ht="54" customHeight="1">
      <c r="A131" s="387"/>
      <c r="B131" s="837" t="s">
        <v>1018</v>
      </c>
      <c r="C131" s="1354" t="s">
        <v>1019</v>
      </c>
      <c r="D131" s="1354"/>
      <c r="E131" s="1354"/>
      <c r="F131" s="838" t="s">
        <v>1020</v>
      </c>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row>
    <row r="132" spans="1:29" s="387" customFormat="1"/>
    <row r="133" spans="1:29" s="387" customFormat="1"/>
    <row r="134" spans="1:29" s="387" customFormat="1"/>
    <row r="135" spans="1:29" s="387" customFormat="1"/>
    <row r="136" spans="1:29" s="387" customFormat="1"/>
    <row r="137" spans="1:29" s="387" customFormat="1"/>
    <row r="138" spans="1:29" s="387" customFormat="1"/>
    <row r="139" spans="1:29" s="387" customFormat="1"/>
    <row r="140" spans="1:29" s="387" customFormat="1"/>
    <row r="141" spans="1:29" s="387" customFormat="1"/>
    <row r="142" spans="1:29" s="387" customFormat="1"/>
    <row r="143" spans="1:29" s="387" customFormat="1"/>
    <row r="144" spans="1:29" s="387" customFormat="1"/>
    <row r="145" s="387" customFormat="1"/>
    <row r="146" s="387" customFormat="1"/>
    <row r="147" s="387" customFormat="1"/>
    <row r="148" s="387" customFormat="1"/>
    <row r="149" s="387" customFormat="1"/>
    <row r="150" s="387" customFormat="1"/>
    <row r="151" s="387" customFormat="1"/>
    <row r="152" s="387" customFormat="1"/>
    <row r="153" s="387" customFormat="1"/>
    <row r="154" s="387" customFormat="1"/>
    <row r="155" s="387" customFormat="1"/>
    <row r="156" s="387" customFormat="1"/>
    <row r="157" s="387" customFormat="1"/>
    <row r="158" s="387" customFormat="1"/>
    <row r="159" s="387" customFormat="1"/>
    <row r="160" s="387" customFormat="1"/>
    <row r="161" s="387" customFormat="1"/>
    <row r="162" s="387" customFormat="1"/>
    <row r="163" s="387" customFormat="1"/>
    <row r="164" s="387" customFormat="1"/>
    <row r="165" s="387" customFormat="1"/>
    <row r="166" s="387" customFormat="1"/>
    <row r="167" s="387" customFormat="1"/>
    <row r="168" s="387" customFormat="1"/>
    <row r="169" s="387" customFormat="1"/>
    <row r="170" s="387" customFormat="1"/>
    <row r="171" s="387" customFormat="1"/>
    <row r="172" s="387" customFormat="1"/>
    <row r="173" s="387" customFormat="1"/>
    <row r="174" s="387" customFormat="1"/>
    <row r="175" s="387" customFormat="1"/>
    <row r="176" s="387" customFormat="1"/>
    <row r="177" s="387" customFormat="1"/>
    <row r="178" s="387" customFormat="1"/>
    <row r="179" s="387" customFormat="1"/>
    <row r="180" s="387" customFormat="1"/>
    <row r="181" s="387" customFormat="1"/>
    <row r="182" s="387" customFormat="1"/>
    <row r="183" s="387" customFormat="1"/>
    <row r="184" s="387" customFormat="1"/>
    <row r="185" s="387" customFormat="1"/>
    <row r="186" s="387" customFormat="1"/>
    <row r="187" s="387" customFormat="1"/>
    <row r="188" s="387" customFormat="1"/>
    <row r="189" s="387" customFormat="1"/>
    <row r="190" s="387" customFormat="1"/>
    <row r="191" s="387" customFormat="1"/>
    <row r="192" s="387" customFormat="1"/>
    <row r="193" s="387" customFormat="1"/>
    <row r="194" s="387" customFormat="1"/>
    <row r="195" s="387" customFormat="1"/>
    <row r="196" s="387" customFormat="1"/>
  </sheetData>
  <sheetProtection sheet="1"/>
  <mergeCells count="69">
    <mergeCell ref="E30:F30"/>
    <mergeCell ref="E28:F28"/>
    <mergeCell ref="C131:E131"/>
    <mergeCell ref="C127:E127"/>
    <mergeCell ref="B44:F44"/>
    <mergeCell ref="C125:E125"/>
    <mergeCell ref="C126:E126"/>
    <mergeCell ref="C128:E128"/>
    <mergeCell ref="C129:E129"/>
    <mergeCell ref="C130:E130"/>
    <mergeCell ref="C121:E121"/>
    <mergeCell ref="C122:E122"/>
    <mergeCell ref="C117:E117"/>
    <mergeCell ref="C118:E118"/>
    <mergeCell ref="A41:F41"/>
    <mergeCell ref="B46:F46"/>
    <mergeCell ref="E31:F31"/>
    <mergeCell ref="E32:F32"/>
    <mergeCell ref="B36:D36"/>
    <mergeCell ref="B37:D37"/>
    <mergeCell ref="B98:F98"/>
    <mergeCell ref="B38:D38"/>
    <mergeCell ref="B103:F103"/>
    <mergeCell ref="B31:D31"/>
    <mergeCell ref="B32:D32"/>
    <mergeCell ref="B33:D33"/>
    <mergeCell ref="C2:D2"/>
    <mergeCell ref="E12:F12"/>
    <mergeCell ref="E13:F13"/>
    <mergeCell ref="B12:C12"/>
    <mergeCell ref="B13:C13"/>
    <mergeCell ref="A9:F9"/>
    <mergeCell ref="B19:D19"/>
    <mergeCell ref="C48:F48"/>
    <mergeCell ref="B29:C29"/>
    <mergeCell ref="B15:C15"/>
    <mergeCell ref="B16:C16"/>
    <mergeCell ref="B27:C27"/>
    <mergeCell ref="C123:E123"/>
    <mergeCell ref="C124:E124"/>
    <mergeCell ref="A6:E6"/>
    <mergeCell ref="B35:D35"/>
    <mergeCell ref="B105:F105"/>
    <mergeCell ref="C90:F90"/>
    <mergeCell ref="C69:F69"/>
    <mergeCell ref="B45:F45"/>
    <mergeCell ref="B26:D26"/>
    <mergeCell ref="C119:E119"/>
    <mergeCell ref="C120:E120"/>
    <mergeCell ref="B14:C14"/>
    <mergeCell ref="E20:F20"/>
    <mergeCell ref="B104:F104"/>
    <mergeCell ref="B111:F111"/>
    <mergeCell ref="C116:E116"/>
    <mergeCell ref="E15:F15"/>
    <mergeCell ref="E16:F16"/>
    <mergeCell ref="E22:F22"/>
    <mergeCell ref="B17:C17"/>
    <mergeCell ref="B28:C28"/>
    <mergeCell ref="E18:G18"/>
    <mergeCell ref="E19:G19"/>
    <mergeCell ref="B20:D20"/>
    <mergeCell ref="B24:D24"/>
    <mergeCell ref="B23:D23"/>
    <mergeCell ref="B21:D21"/>
    <mergeCell ref="E25:F25"/>
    <mergeCell ref="E21:F21"/>
    <mergeCell ref="E24:F24"/>
    <mergeCell ref="E27:F27"/>
  </mergeCells>
  <dataValidations count="1">
    <dataValidation type="list" allowBlank="1" showInputMessage="1" showErrorMessage="1" sqref="C2:C3" xr:uid="{00000000-0002-0000-1400-000000000000}">
      <formula1>Tab_navigation</formula1>
    </dataValidation>
  </dataValidations>
  <pageMargins left="0.25" right="0.25" top="0.25" bottom="0.5" header="0.5" footer="0.25"/>
  <pageSetup scale="81" orientation="portrait" r:id="rId1"/>
  <headerFooter alignWithMargins="0">
    <oddFooter>&amp;L&amp;"Arial,Italic"&amp;9EPA Climate Leaders Simplified GHG Emissions Calculator (Direct 1.0)&amp;R&amp;"Arial,Italic"&amp;9&amp;P of &amp;N</oddFooter>
  </headerFooter>
  <rowBreaks count="3" manualBreakCount="3">
    <brk id="38" max="16383" man="1"/>
    <brk id="99" max="16383" man="1"/>
    <brk id="125" max="16383" man="1"/>
  </rowBreaks>
  <colBreaks count="1" manualBreakCount="1">
    <brk id="6" max="1048575" man="1"/>
  </colBreaks>
  <drawing r:id="rId2"/>
  <legacyDrawing r:id="rId3"/>
  <controls>
    <mc:AlternateContent xmlns:mc="http://schemas.openxmlformats.org/markup-compatibility/2006">
      <mc:Choice Requires="x14">
        <control shapeId="44033"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4033" r:id="rId4" name="CommandButton1"/>
      </mc:Fallback>
    </mc:AlternateContent>
    <mc:AlternateContent xmlns:mc="http://schemas.openxmlformats.org/markup-compatibility/2006">
      <mc:Choice Requires="x14">
        <control shapeId="44065" r:id="rId6" name="Button 33">
          <controlPr defaultSize="0" print="0" autoFill="0" autoPict="0" macro="[0]!goto_inputsheetsfromHelp">
            <anchor moveWithCells="1">
              <from>
                <xdr:col>4</xdr:col>
                <xdr:colOff>114300</xdr:colOff>
                <xdr:row>0</xdr:row>
                <xdr:rowOff>276225</xdr:rowOff>
              </from>
              <to>
                <xdr:col>5</xdr:col>
                <xdr:colOff>171450</xdr:colOff>
                <xdr:row>1</xdr:row>
                <xdr:rowOff>209550</xdr:rowOff>
              </to>
            </anchor>
          </controlPr>
        </control>
      </mc:Choice>
    </mc:AlternateContent>
  </control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A1:AD191"/>
  <sheetViews>
    <sheetView zoomScaleNormal="100" zoomScaleSheetLayoutView="7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6" width="14.85546875" style="386" customWidth="1"/>
    <col min="7" max="7" width="6.28515625" style="386" customWidth="1"/>
    <col min="8" max="8" width="9.140625" style="386"/>
    <col min="9" max="9" width="11.28515625" style="386" bestFit="1" customWidth="1"/>
    <col min="10" max="10" width="10.28515625" style="386" bestFit="1" customWidth="1"/>
    <col min="11"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388" t="s">
        <v>929</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389"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38.25" customHeight="1">
      <c r="A6" s="1355" t="s">
        <v>489</v>
      </c>
      <c r="B6" s="1355"/>
      <c r="C6" s="1355"/>
      <c r="D6" s="1355"/>
      <c r="E6" s="1355"/>
      <c r="F6" s="1355"/>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392"/>
      <c r="B7" s="392"/>
      <c r="C7" s="392"/>
      <c r="D7" s="576"/>
      <c r="E7" s="392"/>
      <c r="F7" s="392"/>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393" t="s">
        <v>490</v>
      </c>
      <c r="B8" s="392"/>
      <c r="C8" s="392"/>
      <c r="D8" s="576"/>
      <c r="E8" s="392"/>
      <c r="F8" s="392"/>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51.75" customHeight="1">
      <c r="A9" s="1355" t="s">
        <v>1134</v>
      </c>
      <c r="B9" s="1355"/>
      <c r="C9" s="1355"/>
      <c r="D9" s="1355"/>
      <c r="E9" s="1355"/>
      <c r="F9" s="1355"/>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397" t="s">
        <v>500</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499</v>
      </c>
      <c r="C11" s="1365"/>
      <c r="D11" s="1365"/>
      <c r="E11" s="1365"/>
      <c r="F11" s="1365"/>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ht="16.5" customHeight="1">
      <c r="A12" s="396" t="s">
        <v>494</v>
      </c>
      <c r="B12" s="1365" t="s">
        <v>498</v>
      </c>
      <c r="C12" s="1365"/>
      <c r="D12" s="1365"/>
      <c r="E12" s="1365"/>
      <c r="F12" s="1365"/>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392"/>
      <c r="B13" s="392"/>
      <c r="C13" s="392"/>
      <c r="D13" s="576"/>
      <c r="E13" s="392"/>
      <c r="F13" s="392"/>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4" t="s">
        <v>491</v>
      </c>
      <c r="B14" s="392"/>
      <c r="C14" s="392"/>
      <c r="D14" s="576"/>
      <c r="E14" s="392"/>
      <c r="F14" s="392"/>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ht="44.25" customHeight="1">
      <c r="A15" s="1370" t="s">
        <v>1362</v>
      </c>
      <c r="B15" s="1355"/>
      <c r="C15" s="1355"/>
      <c r="D15" s="1355"/>
      <c r="E15" s="1355"/>
      <c r="F15" s="1355"/>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392"/>
      <c r="B16" s="392"/>
      <c r="C16" s="392"/>
      <c r="D16" s="576"/>
      <c r="E16" s="392"/>
      <c r="F16" s="392"/>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92"/>
      <c r="B17" s="392"/>
      <c r="C17" s="392"/>
      <c r="D17" s="576"/>
      <c r="E17" s="392"/>
      <c r="F17" s="392"/>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394" t="s">
        <v>497</v>
      </c>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ht="16.5" customHeight="1">
      <c r="A19" s="396" t="s">
        <v>494</v>
      </c>
      <c r="B19" s="1365" t="s">
        <v>643</v>
      </c>
      <c r="C19" s="1365"/>
      <c r="D19" s="1365"/>
      <c r="E19" s="1365"/>
      <c r="F19" s="1365"/>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40.5" customHeight="1">
      <c r="A20" s="396" t="s">
        <v>494</v>
      </c>
      <c r="B20" s="1365" t="s">
        <v>1135</v>
      </c>
      <c r="C20" s="1365"/>
      <c r="D20" s="1365"/>
      <c r="E20" s="1365"/>
      <c r="F20" s="1365"/>
      <c r="G20" s="387"/>
      <c r="H20" s="387"/>
      <c r="I20" s="836"/>
      <c r="J20" s="387"/>
      <c r="K20" s="387"/>
      <c r="L20" s="387"/>
      <c r="M20" s="387"/>
      <c r="N20" s="387"/>
      <c r="O20" s="387"/>
      <c r="P20" s="387"/>
      <c r="Q20" s="387"/>
      <c r="R20" s="387"/>
      <c r="S20" s="387"/>
      <c r="T20" s="387"/>
      <c r="U20" s="387"/>
      <c r="V20" s="387"/>
      <c r="W20" s="387"/>
      <c r="X20" s="387"/>
      <c r="Y20" s="387"/>
      <c r="Z20" s="387"/>
      <c r="AA20" s="387"/>
      <c r="AB20" s="387"/>
      <c r="AC20" s="387"/>
      <c r="AD20" s="387"/>
    </row>
    <row r="21" spans="1:30" ht="27.75" customHeight="1">
      <c r="A21" s="396" t="s">
        <v>494</v>
      </c>
      <c r="B21" s="1365" t="s">
        <v>676</v>
      </c>
      <c r="C21" s="1365"/>
      <c r="D21" s="1365"/>
      <c r="E21" s="1365"/>
      <c r="F21" s="1365"/>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ht="58.5" customHeight="1">
      <c r="A22" s="396" t="s">
        <v>494</v>
      </c>
      <c r="B22" s="1365" t="s">
        <v>1064</v>
      </c>
      <c r="C22" s="1365"/>
      <c r="D22" s="1365"/>
      <c r="E22" s="1365"/>
      <c r="F22" s="1365"/>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ht="13.5" thickBot="1">
      <c r="A23" s="396"/>
      <c r="B23" s="400"/>
      <c r="C23" s="400"/>
      <c r="D23" s="575"/>
      <c r="E23" s="400"/>
      <c r="F23" s="400"/>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ht="13.5" thickBot="1">
      <c r="A24" s="387"/>
      <c r="B24" s="391" t="s">
        <v>593</v>
      </c>
      <c r="C24" s="1367" t="s">
        <v>647</v>
      </c>
      <c r="D24" s="1368"/>
      <c r="E24" s="1368"/>
      <c r="F24" s="1369"/>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ht="13.5" thickBot="1">
      <c r="A25" s="387"/>
      <c r="B25" s="619" t="s">
        <v>985</v>
      </c>
      <c r="C25" s="620" t="s">
        <v>599</v>
      </c>
      <c r="D25" s="621" t="s">
        <v>587</v>
      </c>
      <c r="E25" s="621" t="s">
        <v>588</v>
      </c>
      <c r="F25" s="622" t="s">
        <v>589</v>
      </c>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416" t="s">
        <v>967</v>
      </c>
      <c r="C26" s="578">
        <v>46.6</v>
      </c>
      <c r="D26" s="578">
        <v>38.799999999999997</v>
      </c>
      <c r="E26" s="578">
        <v>16.5</v>
      </c>
      <c r="F26" s="579">
        <v>27.9</v>
      </c>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490" t="s">
        <v>968</v>
      </c>
      <c r="C27" s="580" t="s">
        <v>984</v>
      </c>
      <c r="D27" s="580" t="s">
        <v>984</v>
      </c>
      <c r="E27" s="580">
        <v>59.1</v>
      </c>
      <c r="F27" s="581" t="s">
        <v>984</v>
      </c>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490" t="s">
        <v>969</v>
      </c>
      <c r="C28" s="580">
        <v>130.69999999999999</v>
      </c>
      <c r="D28" s="580">
        <v>162.4</v>
      </c>
      <c r="E28" s="580">
        <v>178</v>
      </c>
      <c r="F28" s="581">
        <v>139.69999999999999</v>
      </c>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490" t="s">
        <v>970</v>
      </c>
      <c r="C29" s="580">
        <v>68.8</v>
      </c>
      <c r="D29" s="580">
        <v>85.7</v>
      </c>
      <c r="E29" s="580">
        <v>77</v>
      </c>
      <c r="F29" s="581">
        <v>86</v>
      </c>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490" t="s">
        <v>971</v>
      </c>
      <c r="C30" s="580">
        <v>107.4</v>
      </c>
      <c r="D30" s="580">
        <v>111.7</v>
      </c>
      <c r="E30" s="580">
        <v>88.3</v>
      </c>
      <c r="F30" s="581">
        <v>109</v>
      </c>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490" t="s">
        <v>972</v>
      </c>
      <c r="C31" s="580">
        <v>33.1</v>
      </c>
      <c r="D31" s="580">
        <v>48</v>
      </c>
      <c r="E31" s="580">
        <v>24.8</v>
      </c>
      <c r="F31" s="581">
        <v>45.2</v>
      </c>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490" t="s">
        <v>973</v>
      </c>
      <c r="C32" s="580">
        <v>43.9</v>
      </c>
      <c r="D32" s="580">
        <v>49.3</v>
      </c>
      <c r="E32" s="580">
        <v>33.1</v>
      </c>
      <c r="F32" s="581">
        <v>56.3</v>
      </c>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490" t="s">
        <v>974</v>
      </c>
      <c r="C33" s="580">
        <v>40.4</v>
      </c>
      <c r="D33" s="580">
        <v>43</v>
      </c>
      <c r="E33" s="580">
        <v>26.1</v>
      </c>
      <c r="F33" s="581">
        <v>31.4</v>
      </c>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490" t="s">
        <v>975</v>
      </c>
      <c r="C34" s="580">
        <v>25.1</v>
      </c>
      <c r="D34" s="580">
        <v>33.9</v>
      </c>
      <c r="E34" s="580">
        <v>15.1</v>
      </c>
      <c r="F34" s="581">
        <v>15.2</v>
      </c>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490" t="s">
        <v>976</v>
      </c>
      <c r="C35" s="580">
        <v>50.3</v>
      </c>
      <c r="D35" s="580">
        <v>50.9</v>
      </c>
      <c r="E35" s="580">
        <v>31.2</v>
      </c>
      <c r="F35" s="581">
        <v>44.4</v>
      </c>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490" t="s">
        <v>300</v>
      </c>
      <c r="C36" s="580">
        <v>34.299999999999997</v>
      </c>
      <c r="D36" s="580">
        <v>33.200000000000003</v>
      </c>
      <c r="E36" s="580">
        <v>17.2</v>
      </c>
      <c r="F36" s="581">
        <v>22.2</v>
      </c>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490" t="s">
        <v>977</v>
      </c>
      <c r="C37" s="580">
        <v>42.6</v>
      </c>
      <c r="D37" s="580">
        <v>40.5</v>
      </c>
      <c r="E37" s="580">
        <v>26</v>
      </c>
      <c r="F37" s="581">
        <v>26.7</v>
      </c>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490" t="s">
        <v>978</v>
      </c>
      <c r="C38" s="580" t="s">
        <v>984</v>
      </c>
      <c r="D38" s="580" t="s">
        <v>984</v>
      </c>
      <c r="E38" s="580">
        <v>23.4</v>
      </c>
      <c r="F38" s="581" t="s">
        <v>984</v>
      </c>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490" t="s">
        <v>979</v>
      </c>
      <c r="C39" s="580">
        <v>25.8</v>
      </c>
      <c r="D39" s="580">
        <v>38.9</v>
      </c>
      <c r="E39" s="580">
        <v>22.2</v>
      </c>
      <c r="F39" s="581">
        <v>29.1</v>
      </c>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490" t="s">
        <v>980</v>
      </c>
      <c r="C40" s="580">
        <v>64.8</v>
      </c>
      <c r="D40" s="580">
        <v>38.1</v>
      </c>
      <c r="E40" s="580">
        <v>44.6</v>
      </c>
      <c r="F40" s="581">
        <v>35.299999999999997</v>
      </c>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490" t="s">
        <v>981</v>
      </c>
      <c r="C41" s="580">
        <v>27.6</v>
      </c>
      <c r="D41" s="580">
        <v>20.3</v>
      </c>
      <c r="E41" s="580">
        <v>11.3</v>
      </c>
      <c r="F41" s="581">
        <v>25.5</v>
      </c>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490" t="s">
        <v>982</v>
      </c>
      <c r="C42" s="580" t="s">
        <v>984</v>
      </c>
      <c r="D42" s="580" t="s">
        <v>984</v>
      </c>
      <c r="E42" s="580">
        <v>41.6</v>
      </c>
      <c r="F42" s="581">
        <v>74</v>
      </c>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ht="13.5" thickBot="1">
      <c r="A43" s="387"/>
      <c r="B43" s="419" t="s">
        <v>983</v>
      </c>
      <c r="C43" s="582" t="s">
        <v>984</v>
      </c>
      <c r="D43" s="582" t="s">
        <v>984</v>
      </c>
      <c r="E43" s="582" t="s">
        <v>984</v>
      </c>
      <c r="F43" s="583" t="s">
        <v>984</v>
      </c>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ht="29.25" customHeight="1">
      <c r="A44" s="387"/>
      <c r="B44" s="1366" t="s">
        <v>987</v>
      </c>
      <c r="C44" s="1366"/>
      <c r="D44" s="1366"/>
      <c r="E44" s="1366"/>
      <c r="F44" s="1366"/>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t="s">
        <v>988</v>
      </c>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sheetData>
  <sheetProtection sheet="1"/>
  <mergeCells count="11">
    <mergeCell ref="A6:F6"/>
    <mergeCell ref="A9:F9"/>
    <mergeCell ref="A15:F15"/>
    <mergeCell ref="B19:F19"/>
    <mergeCell ref="B11:F11"/>
    <mergeCell ref="B44:F44"/>
    <mergeCell ref="B12:F12"/>
    <mergeCell ref="B22:F22"/>
    <mergeCell ref="C24:F24"/>
    <mergeCell ref="B20:F20"/>
    <mergeCell ref="B21:F21"/>
  </mergeCells>
  <pageMargins left="0.25" right="0.25" top="0.25" bottom="0.5" header="0.5" footer="0.25"/>
  <pageSetup scale="91" orientation="portrait" r:id="rId1"/>
  <headerFooter alignWithMargins="0">
    <oddFooter>&amp;L&amp;"Arial,Italic"&amp;9EPA Climate Leaders Simplified GHG Emissions Calculator (Direct 1.0)&amp;R&amp;"Arial,Italic"&amp;9&amp;P of &amp;N</oddFooter>
  </headerFooter>
  <rowBreaks count="1" manualBreakCount="1">
    <brk id="23" max="16383" man="1"/>
  </rowBreaks>
  <drawing r:id="rId2"/>
  <legacyDrawing r:id="rId3"/>
  <controls>
    <mc:AlternateContent xmlns:mc="http://schemas.openxmlformats.org/markup-compatibility/2006">
      <mc:Choice Requires="x14">
        <control shapeId="33793"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33793" r:id="rId4" name="CommandButton1"/>
      </mc:Fallback>
    </mc:AlternateContent>
    <mc:AlternateContent xmlns:mc="http://schemas.openxmlformats.org/markup-compatibility/2006">
      <mc:Choice Requires="x14">
        <control shapeId="33794"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3794" r:id="rId6" name="CommandButton2"/>
      </mc:Fallback>
    </mc:AlternateContent>
    <mc:AlternateContent xmlns:mc="http://schemas.openxmlformats.org/markup-compatibility/2006">
      <mc:Choice Requires="x14">
        <control shapeId="33795" r:id="rId8" name="CommandButton4">
          <controlPr autoLine="0" r:id="rId9">
            <anchor moveWithCells="1">
              <from>
                <xdr:col>2</xdr:col>
                <xdr:colOff>666750</xdr:colOff>
                <xdr:row>0</xdr:row>
                <xdr:rowOff>142875</xdr:rowOff>
              </from>
              <to>
                <xdr:col>3</xdr:col>
                <xdr:colOff>895350</xdr:colOff>
                <xdr:row>1</xdr:row>
                <xdr:rowOff>133350</xdr:rowOff>
              </to>
            </anchor>
          </controlPr>
        </control>
      </mc:Choice>
      <mc:Fallback>
        <control shapeId="33795" r:id="rId8" name="CommandButton4"/>
      </mc:Fallback>
    </mc:AlternateContent>
  </control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1:AE206"/>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9" width="9.140625" style="386"/>
    <col min="10" max="10" width="31.28515625" style="386" customWidth="1"/>
    <col min="11" max="16384" width="9.140625" style="386"/>
  </cols>
  <sheetData>
    <row r="1" spans="1:31"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row>
    <row r="2" spans="1:31"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row>
    <row r="3" spans="1:31" ht="15">
      <c r="A3" s="388" t="s">
        <v>930</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c r="AE3" s="387"/>
    </row>
    <row r="4" spans="1:31">
      <c r="A4" s="387"/>
      <c r="B4" s="387"/>
      <c r="C4" s="387"/>
      <c r="D4" s="387"/>
      <c r="E4" s="387"/>
      <c r="F4" s="387"/>
      <c r="G4" s="387"/>
      <c r="H4" s="387"/>
      <c r="I4" s="387"/>
      <c r="J4" s="324"/>
      <c r="K4" s="387"/>
      <c r="L4" s="387"/>
      <c r="M4" s="387"/>
      <c r="N4" s="387"/>
      <c r="O4" s="387"/>
      <c r="P4" s="387"/>
      <c r="Q4" s="387"/>
      <c r="R4" s="387"/>
      <c r="S4" s="387"/>
      <c r="T4" s="387"/>
      <c r="U4" s="387"/>
      <c r="V4" s="387"/>
      <c r="W4" s="387"/>
      <c r="X4" s="387"/>
      <c r="Y4" s="387"/>
      <c r="Z4" s="387"/>
      <c r="AA4" s="387"/>
      <c r="AB4" s="387"/>
      <c r="AC4" s="387"/>
      <c r="AD4" s="387"/>
      <c r="AE4" s="387"/>
    </row>
    <row r="5" spans="1:31">
      <c r="A5" s="389" t="s">
        <v>488</v>
      </c>
      <c r="B5" s="387"/>
      <c r="C5" s="387"/>
      <c r="D5" s="387"/>
      <c r="E5" s="387"/>
      <c r="F5" s="387"/>
      <c r="G5" s="387"/>
      <c r="H5" s="387"/>
      <c r="I5" s="387"/>
      <c r="J5" s="324"/>
      <c r="K5" s="387"/>
      <c r="L5" s="387"/>
      <c r="M5" s="387"/>
      <c r="N5" s="387"/>
      <c r="O5" s="387"/>
      <c r="P5" s="387"/>
      <c r="Q5" s="387"/>
      <c r="R5" s="387"/>
      <c r="S5" s="387"/>
      <c r="T5" s="387"/>
      <c r="U5" s="387"/>
      <c r="V5" s="387"/>
      <c r="W5" s="387"/>
      <c r="X5" s="387"/>
      <c r="Y5" s="387"/>
      <c r="Z5" s="387"/>
      <c r="AA5" s="387"/>
      <c r="AB5" s="387"/>
      <c r="AC5" s="387"/>
      <c r="AD5" s="387"/>
      <c r="AE5" s="387"/>
    </row>
    <row r="6" spans="1:31" ht="28.5" customHeight="1">
      <c r="A6" s="1371" t="s">
        <v>1137</v>
      </c>
      <c r="B6" s="1371"/>
      <c r="C6" s="1371"/>
      <c r="D6" s="1371"/>
      <c r="E6" s="1371"/>
      <c r="F6" s="387"/>
      <c r="G6" s="387"/>
      <c r="H6" s="387"/>
      <c r="I6" s="387"/>
      <c r="J6" s="324"/>
      <c r="K6" s="387"/>
      <c r="L6" s="387"/>
      <c r="M6" s="387"/>
      <c r="N6" s="387"/>
      <c r="O6" s="387"/>
      <c r="P6" s="387"/>
      <c r="Q6" s="387"/>
      <c r="R6" s="387"/>
      <c r="S6" s="387"/>
      <c r="T6" s="387"/>
      <c r="U6" s="387"/>
      <c r="V6" s="387"/>
      <c r="W6" s="387"/>
      <c r="X6" s="387"/>
      <c r="Y6" s="387"/>
      <c r="Z6" s="387"/>
      <c r="AA6" s="387"/>
      <c r="AB6" s="387"/>
      <c r="AC6" s="387"/>
      <c r="AD6" s="387"/>
      <c r="AE6" s="387"/>
    </row>
    <row r="7" spans="1:31">
      <c r="A7" s="392"/>
      <c r="B7" s="392"/>
      <c r="C7" s="392"/>
      <c r="D7" s="392"/>
      <c r="E7" s="392"/>
      <c r="F7" s="387"/>
      <c r="G7" s="387"/>
      <c r="H7" s="387"/>
      <c r="I7" s="387"/>
      <c r="J7" s="324"/>
      <c r="K7" s="387"/>
      <c r="L7" s="387"/>
      <c r="M7" s="387"/>
      <c r="N7" s="387"/>
      <c r="O7" s="387"/>
      <c r="P7" s="387"/>
      <c r="Q7" s="387"/>
      <c r="R7" s="387"/>
      <c r="S7" s="387"/>
      <c r="T7" s="387"/>
      <c r="U7" s="387"/>
      <c r="V7" s="387"/>
      <c r="W7" s="387"/>
      <c r="X7" s="387"/>
      <c r="Y7" s="387"/>
      <c r="Z7" s="387"/>
      <c r="AA7" s="387"/>
      <c r="AB7" s="387"/>
      <c r="AC7" s="387"/>
      <c r="AD7" s="387"/>
      <c r="AE7" s="387"/>
    </row>
    <row r="8" spans="1:31">
      <c r="A8" s="393" t="s">
        <v>490</v>
      </c>
      <c r="B8" s="392"/>
      <c r="C8" s="392"/>
      <c r="D8" s="392"/>
      <c r="E8" s="392"/>
      <c r="F8" s="387"/>
      <c r="G8" s="387"/>
      <c r="H8" s="387"/>
      <c r="I8" s="387"/>
      <c r="J8" s="324"/>
      <c r="K8" s="387"/>
      <c r="L8" s="387"/>
      <c r="M8" s="387"/>
      <c r="N8" s="387"/>
      <c r="O8" s="387"/>
      <c r="P8" s="387"/>
      <c r="Q8" s="387"/>
      <c r="R8" s="387"/>
      <c r="S8" s="387"/>
      <c r="T8" s="387"/>
      <c r="U8" s="387"/>
      <c r="V8" s="387"/>
      <c r="W8" s="387"/>
      <c r="X8" s="387"/>
      <c r="Y8" s="387"/>
      <c r="Z8" s="387"/>
      <c r="AA8" s="387"/>
      <c r="AB8" s="387"/>
      <c r="AC8" s="387"/>
      <c r="AD8" s="387"/>
      <c r="AE8" s="387"/>
    </row>
    <row r="9" spans="1:31" ht="51.75" customHeight="1">
      <c r="A9" s="1355" t="s">
        <v>496</v>
      </c>
      <c r="B9" s="1355"/>
      <c r="C9" s="1355"/>
      <c r="D9" s="1355"/>
      <c r="E9" s="1355"/>
      <c r="F9" s="387"/>
      <c r="G9" s="387"/>
      <c r="H9" s="387"/>
      <c r="I9" s="387"/>
      <c r="J9" s="324"/>
      <c r="K9" s="387"/>
      <c r="L9" s="387"/>
      <c r="M9" s="387"/>
      <c r="N9" s="387"/>
      <c r="O9" s="387"/>
      <c r="P9" s="387"/>
      <c r="Q9" s="387"/>
      <c r="R9" s="387"/>
      <c r="S9" s="387"/>
      <c r="T9" s="387"/>
      <c r="U9" s="387"/>
      <c r="V9" s="387"/>
      <c r="W9" s="387"/>
      <c r="X9" s="387"/>
      <c r="Y9" s="387"/>
      <c r="Z9" s="387"/>
      <c r="AA9" s="387"/>
      <c r="AB9" s="387"/>
      <c r="AC9" s="387"/>
      <c r="AD9" s="387"/>
      <c r="AE9" s="387"/>
    </row>
    <row r="10" spans="1:31" ht="15" customHeight="1">
      <c r="A10" s="439" t="s">
        <v>818</v>
      </c>
      <c r="B10" s="761"/>
      <c r="C10" s="761"/>
      <c r="D10" s="761"/>
      <c r="E10" s="761"/>
      <c r="F10" s="387"/>
      <c r="G10" s="387"/>
      <c r="H10" s="387"/>
      <c r="I10" s="387"/>
      <c r="J10" s="324"/>
      <c r="K10" s="387"/>
      <c r="L10" s="387"/>
      <c r="M10" s="387"/>
      <c r="N10" s="387"/>
      <c r="O10" s="387"/>
      <c r="P10" s="387"/>
      <c r="Q10" s="387"/>
      <c r="R10" s="387"/>
      <c r="S10" s="387"/>
      <c r="T10" s="387"/>
      <c r="U10" s="387"/>
      <c r="V10" s="387"/>
      <c r="W10" s="387"/>
      <c r="X10" s="387"/>
      <c r="Y10" s="387"/>
      <c r="Z10" s="387"/>
      <c r="AA10" s="387"/>
      <c r="AB10" s="387"/>
      <c r="AC10" s="387"/>
      <c r="AD10" s="387"/>
      <c r="AE10" s="387"/>
    </row>
    <row r="11" spans="1:31" ht="6" customHeight="1">
      <c r="A11" s="439"/>
      <c r="B11" s="761"/>
      <c r="C11" s="761"/>
      <c r="D11" s="761"/>
      <c r="E11" s="761"/>
      <c r="F11" s="387"/>
      <c r="G11" s="387"/>
      <c r="H11" s="387"/>
      <c r="I11" s="387"/>
      <c r="J11" s="324"/>
      <c r="K11" s="387"/>
      <c r="L11" s="387"/>
      <c r="M11" s="387"/>
      <c r="N11" s="387"/>
      <c r="O11" s="387"/>
      <c r="P11" s="387"/>
      <c r="Q11" s="387"/>
      <c r="R11" s="387"/>
      <c r="S11" s="387"/>
      <c r="T11" s="387"/>
      <c r="U11" s="387"/>
      <c r="V11" s="387"/>
      <c r="W11" s="387"/>
      <c r="X11" s="387"/>
      <c r="Y11" s="387"/>
      <c r="Z11" s="387"/>
      <c r="AA11" s="387"/>
      <c r="AB11" s="387"/>
      <c r="AC11" s="387"/>
      <c r="AD11" s="387"/>
      <c r="AE11" s="387"/>
    </row>
    <row r="12" spans="1:31" ht="17.25" customHeight="1">
      <c r="A12" s="397" t="s">
        <v>501</v>
      </c>
      <c r="B12" s="387"/>
      <c r="C12" s="387"/>
      <c r="D12" s="387"/>
      <c r="E12" s="387"/>
      <c r="F12" s="387"/>
      <c r="G12" s="387"/>
      <c r="H12" s="387"/>
      <c r="I12" s="387"/>
      <c r="J12" s="324"/>
      <c r="K12" s="387"/>
      <c r="L12" s="387"/>
      <c r="M12" s="387"/>
      <c r="N12" s="387"/>
      <c r="O12" s="387"/>
      <c r="P12" s="387"/>
      <c r="Q12" s="387"/>
      <c r="R12" s="387"/>
      <c r="S12" s="387"/>
      <c r="T12" s="387"/>
      <c r="U12" s="387"/>
      <c r="V12" s="387"/>
      <c r="W12" s="387"/>
      <c r="X12" s="387"/>
      <c r="Y12" s="387"/>
      <c r="Z12" s="387"/>
      <c r="AA12" s="387"/>
      <c r="AB12" s="387"/>
      <c r="AC12" s="387"/>
      <c r="AD12" s="387"/>
      <c r="AE12" s="387"/>
    </row>
    <row r="13" spans="1:31">
      <c r="A13" s="396" t="s">
        <v>494</v>
      </c>
      <c r="B13" s="1365" t="s">
        <v>502</v>
      </c>
      <c r="C13" s="1365"/>
      <c r="D13" s="1365"/>
      <c r="E13" s="1365"/>
      <c r="F13" s="387"/>
      <c r="G13" s="387"/>
      <c r="H13" s="387"/>
      <c r="I13" s="387"/>
      <c r="J13" s="324"/>
      <c r="K13" s="387"/>
      <c r="L13" s="387"/>
      <c r="M13" s="387"/>
      <c r="N13" s="387"/>
      <c r="O13" s="387"/>
      <c r="P13" s="387"/>
      <c r="Q13" s="387"/>
      <c r="R13" s="387"/>
      <c r="S13" s="387"/>
      <c r="T13" s="387"/>
      <c r="U13" s="387"/>
      <c r="V13" s="387"/>
      <c r="W13" s="387"/>
      <c r="X13" s="387"/>
      <c r="Y13" s="387"/>
      <c r="Z13" s="387"/>
      <c r="AA13" s="387"/>
      <c r="AB13" s="387"/>
      <c r="AC13" s="387"/>
      <c r="AD13" s="387"/>
      <c r="AE13" s="387"/>
    </row>
    <row r="14" spans="1:31">
      <c r="A14" s="396" t="s">
        <v>494</v>
      </c>
      <c r="B14" s="1365" t="s">
        <v>544</v>
      </c>
      <c r="C14" s="1365"/>
      <c r="D14" s="1365"/>
      <c r="E14" s="1365"/>
      <c r="F14" s="387"/>
      <c r="G14" s="387"/>
      <c r="H14" s="387"/>
      <c r="I14" s="387"/>
      <c r="J14" s="324"/>
      <c r="K14" s="387"/>
      <c r="L14" s="387"/>
      <c r="M14" s="387"/>
      <c r="N14" s="387"/>
      <c r="O14" s="387"/>
      <c r="P14" s="387"/>
      <c r="Q14" s="387"/>
      <c r="R14" s="387"/>
      <c r="S14" s="387"/>
      <c r="T14" s="387"/>
      <c r="U14" s="387"/>
      <c r="V14" s="387"/>
      <c r="W14" s="387"/>
      <c r="X14" s="387"/>
      <c r="Y14" s="387"/>
      <c r="Z14" s="387"/>
      <c r="AA14" s="387"/>
      <c r="AB14" s="387"/>
      <c r="AC14" s="387"/>
      <c r="AD14" s="387"/>
      <c r="AE14" s="387"/>
    </row>
    <row r="15" spans="1:31">
      <c r="A15" s="396" t="s">
        <v>494</v>
      </c>
      <c r="B15" s="1365" t="s">
        <v>545</v>
      </c>
      <c r="C15" s="1365"/>
      <c r="D15" s="1365"/>
      <c r="E15" s="1365"/>
      <c r="F15" s="387"/>
      <c r="G15" s="387"/>
      <c r="H15" s="387"/>
      <c r="I15" s="387"/>
      <c r="J15" s="324"/>
      <c r="K15" s="387"/>
      <c r="L15" s="387"/>
      <c r="M15" s="387"/>
      <c r="N15" s="387"/>
      <c r="O15" s="387"/>
      <c r="P15" s="387"/>
      <c r="Q15" s="387"/>
      <c r="R15" s="387"/>
      <c r="S15" s="387"/>
      <c r="T15" s="387"/>
      <c r="U15" s="387"/>
      <c r="V15" s="387"/>
      <c r="W15" s="387"/>
      <c r="X15" s="387"/>
      <c r="Y15" s="387"/>
      <c r="Z15" s="387"/>
      <c r="AA15" s="387"/>
      <c r="AB15" s="387"/>
      <c r="AC15" s="387"/>
      <c r="AD15" s="387"/>
      <c r="AE15" s="387"/>
    </row>
    <row r="16" spans="1:31">
      <c r="A16" s="392"/>
      <c r="B16" s="392"/>
      <c r="C16" s="392"/>
      <c r="D16" s="392"/>
      <c r="E16" s="392"/>
      <c r="F16" s="387"/>
      <c r="G16" s="387"/>
      <c r="H16" s="387"/>
      <c r="I16" s="387"/>
      <c r="J16" s="324"/>
      <c r="K16" s="387"/>
      <c r="L16" s="387"/>
      <c r="M16" s="387"/>
      <c r="N16" s="387"/>
      <c r="O16" s="387"/>
      <c r="P16" s="387"/>
      <c r="Q16" s="387"/>
      <c r="R16" s="387"/>
      <c r="S16" s="387"/>
      <c r="T16" s="387"/>
      <c r="U16" s="387"/>
      <c r="V16" s="387"/>
      <c r="W16" s="387"/>
      <c r="X16" s="387"/>
      <c r="Y16" s="387"/>
      <c r="Z16" s="387"/>
      <c r="AA16" s="387"/>
      <c r="AB16" s="387"/>
      <c r="AC16" s="387"/>
      <c r="AD16" s="387"/>
      <c r="AE16" s="387"/>
    </row>
    <row r="17" spans="1:31">
      <c r="A17" s="394" t="s">
        <v>491</v>
      </c>
      <c r="B17" s="392"/>
      <c r="C17" s="392"/>
      <c r="D17" s="392"/>
      <c r="E17" s="392"/>
      <c r="F17" s="387"/>
      <c r="G17" s="387"/>
      <c r="H17" s="387"/>
      <c r="I17" s="387"/>
      <c r="J17" s="324"/>
      <c r="K17" s="387"/>
      <c r="L17" s="387"/>
      <c r="M17" s="387"/>
      <c r="N17" s="387"/>
      <c r="O17" s="387"/>
      <c r="P17" s="387"/>
      <c r="Q17" s="387"/>
      <c r="R17" s="387"/>
      <c r="S17" s="387"/>
      <c r="T17" s="387"/>
      <c r="U17" s="387"/>
      <c r="V17" s="387"/>
      <c r="W17" s="387"/>
      <c r="X17" s="387"/>
      <c r="Y17" s="387"/>
      <c r="Z17" s="387"/>
      <c r="AA17" s="387"/>
      <c r="AB17" s="387"/>
      <c r="AC17" s="387"/>
      <c r="AD17" s="387"/>
      <c r="AE17" s="387"/>
    </row>
    <row r="18" spans="1:31" ht="84" customHeight="1">
      <c r="A18" s="1370" t="s">
        <v>1363</v>
      </c>
      <c r="B18" s="1355"/>
      <c r="C18" s="1355"/>
      <c r="D18" s="1355"/>
      <c r="E18" s="1355"/>
      <c r="F18" s="387"/>
      <c r="G18" s="387"/>
      <c r="H18" s="387"/>
      <c r="I18" s="387"/>
      <c r="J18" s="324"/>
      <c r="K18" s="387"/>
      <c r="L18" s="387"/>
      <c r="M18" s="387"/>
      <c r="N18" s="387"/>
      <c r="O18" s="387"/>
      <c r="P18" s="387"/>
      <c r="Q18" s="387"/>
      <c r="R18" s="387"/>
      <c r="S18" s="387"/>
      <c r="T18" s="387"/>
      <c r="U18" s="387"/>
      <c r="V18" s="387"/>
      <c r="W18" s="387"/>
      <c r="X18" s="387"/>
      <c r="Y18" s="387"/>
      <c r="Z18" s="387"/>
      <c r="AA18" s="387"/>
      <c r="AB18" s="387"/>
      <c r="AC18" s="387"/>
      <c r="AD18" s="387"/>
      <c r="AE18" s="387"/>
    </row>
    <row r="19" spans="1:31">
      <c r="A19" s="431"/>
      <c r="B19" s="440" t="s">
        <v>612</v>
      </c>
      <c r="C19" s="431"/>
      <c r="D19" s="431"/>
      <c r="E19" s="431"/>
      <c r="F19" s="387"/>
      <c r="G19" s="387"/>
      <c r="H19" s="387"/>
      <c r="I19" s="387"/>
      <c r="J19" s="324"/>
      <c r="K19" s="387"/>
      <c r="L19" s="387"/>
      <c r="M19" s="387"/>
      <c r="N19" s="387"/>
      <c r="O19" s="387"/>
      <c r="P19" s="387"/>
      <c r="Q19" s="387"/>
      <c r="R19" s="387"/>
      <c r="S19" s="387"/>
      <c r="T19" s="387"/>
      <c r="U19" s="387"/>
      <c r="V19" s="387"/>
      <c r="W19" s="387"/>
      <c r="X19" s="387"/>
      <c r="Y19" s="387"/>
      <c r="Z19" s="387"/>
      <c r="AA19" s="387"/>
      <c r="AB19" s="387"/>
      <c r="AC19" s="387"/>
      <c r="AD19" s="387"/>
      <c r="AE19" s="387"/>
    </row>
    <row r="20" spans="1:31">
      <c r="A20" s="431"/>
      <c r="B20" s="441" t="s">
        <v>677</v>
      </c>
      <c r="C20" s="431"/>
      <c r="D20" s="431"/>
      <c r="E20" s="431"/>
      <c r="F20" s="387"/>
      <c r="G20" s="387"/>
      <c r="H20" s="387"/>
      <c r="I20" s="387"/>
      <c r="J20" s="324"/>
      <c r="K20" s="387"/>
      <c r="L20" s="387"/>
      <c r="M20" s="387"/>
      <c r="N20" s="387"/>
      <c r="O20" s="387"/>
      <c r="P20" s="387"/>
      <c r="Q20" s="387"/>
      <c r="R20" s="387"/>
      <c r="S20" s="387"/>
      <c r="T20" s="387"/>
      <c r="U20" s="387"/>
      <c r="V20" s="387"/>
      <c r="W20" s="387"/>
      <c r="X20" s="387"/>
      <c r="Y20" s="387"/>
      <c r="Z20" s="387"/>
      <c r="AA20" s="387"/>
      <c r="AB20" s="387"/>
      <c r="AC20" s="387"/>
      <c r="AD20" s="387"/>
      <c r="AE20" s="387"/>
    </row>
    <row r="21" spans="1:31">
      <c r="A21" s="431"/>
      <c r="B21" s="441" t="s">
        <v>670</v>
      </c>
      <c r="C21" s="431"/>
      <c r="D21" s="431"/>
      <c r="E21" s="431"/>
      <c r="F21" s="387"/>
      <c r="G21" s="387"/>
      <c r="H21" s="387"/>
      <c r="I21" s="387"/>
      <c r="J21" s="324"/>
      <c r="K21" s="387"/>
      <c r="L21" s="387"/>
      <c r="M21" s="387"/>
      <c r="N21" s="387"/>
      <c r="O21" s="387"/>
      <c r="P21" s="387"/>
      <c r="Q21" s="387"/>
      <c r="R21" s="387"/>
      <c r="S21" s="387"/>
      <c r="T21" s="387"/>
      <c r="U21" s="387"/>
      <c r="V21" s="387"/>
      <c r="W21" s="387"/>
      <c r="X21" s="387"/>
      <c r="Y21" s="387"/>
      <c r="Z21" s="387"/>
      <c r="AA21" s="387"/>
      <c r="AB21" s="387"/>
      <c r="AC21" s="387"/>
      <c r="AD21" s="387"/>
      <c r="AE21" s="387"/>
    </row>
    <row r="22" spans="1:31">
      <c r="A22" s="431"/>
      <c r="B22" s="1099" t="s">
        <v>1361</v>
      </c>
      <c r="C22" s="431"/>
      <c r="D22" s="431"/>
      <c r="E22" s="431"/>
      <c r="F22" s="387"/>
      <c r="G22" s="387"/>
      <c r="H22" s="387"/>
      <c r="I22" s="387"/>
      <c r="J22" s="324"/>
      <c r="K22" s="387"/>
      <c r="L22" s="387"/>
      <c r="M22" s="387"/>
      <c r="N22" s="387"/>
      <c r="O22" s="387"/>
      <c r="P22" s="387"/>
      <c r="Q22" s="387"/>
      <c r="R22" s="387"/>
      <c r="S22" s="387"/>
      <c r="T22" s="387"/>
      <c r="U22" s="387"/>
      <c r="V22" s="387"/>
      <c r="W22" s="387"/>
      <c r="X22" s="387"/>
      <c r="Y22" s="387"/>
      <c r="Z22" s="387"/>
      <c r="AA22" s="387"/>
      <c r="AB22" s="387"/>
      <c r="AC22" s="387"/>
      <c r="AD22" s="387"/>
      <c r="AE22" s="387"/>
    </row>
    <row r="23" spans="1:31">
      <c r="A23" s="392"/>
      <c r="B23" s="392"/>
      <c r="C23" s="392"/>
      <c r="D23" s="392"/>
      <c r="E23" s="392"/>
      <c r="F23" s="387"/>
      <c r="G23" s="387"/>
      <c r="H23" s="387"/>
      <c r="I23" s="387"/>
      <c r="J23" s="324"/>
      <c r="K23" s="387"/>
      <c r="L23" s="387"/>
      <c r="M23" s="387"/>
      <c r="N23" s="387"/>
      <c r="O23" s="387"/>
      <c r="P23" s="387"/>
      <c r="Q23" s="387"/>
      <c r="R23" s="387"/>
      <c r="S23" s="387"/>
      <c r="T23" s="387"/>
      <c r="U23" s="387"/>
      <c r="V23" s="387"/>
      <c r="W23" s="387"/>
      <c r="X23" s="387"/>
      <c r="Y23" s="387"/>
      <c r="Z23" s="387"/>
      <c r="AA23" s="387"/>
      <c r="AB23" s="387"/>
      <c r="AC23" s="387"/>
      <c r="AD23" s="387"/>
      <c r="AE23" s="387"/>
    </row>
    <row r="24" spans="1:31">
      <c r="A24" s="394" t="s">
        <v>497</v>
      </c>
      <c r="B24" s="387"/>
      <c r="C24" s="387"/>
      <c r="D24" s="387"/>
      <c r="E24" s="387"/>
      <c r="F24" s="387"/>
      <c r="G24" s="387"/>
      <c r="H24" s="387"/>
      <c r="I24" s="387"/>
      <c r="J24" s="324"/>
      <c r="K24" s="387"/>
      <c r="L24" s="387"/>
      <c r="M24" s="387"/>
      <c r="N24" s="387"/>
      <c r="O24" s="387"/>
      <c r="P24" s="387"/>
      <c r="Q24" s="387"/>
      <c r="R24" s="387"/>
      <c r="S24" s="387"/>
      <c r="T24" s="387"/>
      <c r="U24" s="387"/>
      <c r="V24" s="387"/>
      <c r="W24" s="387"/>
      <c r="X24" s="387"/>
      <c r="Y24" s="387"/>
      <c r="Z24" s="387"/>
      <c r="AA24" s="387"/>
      <c r="AB24" s="387"/>
      <c r="AC24" s="387"/>
      <c r="AD24" s="387"/>
      <c r="AE24" s="387"/>
    </row>
    <row r="25" spans="1:31">
      <c r="A25" s="396" t="s">
        <v>494</v>
      </c>
      <c r="B25" s="1365" t="s">
        <v>612</v>
      </c>
      <c r="C25" s="1365"/>
      <c r="D25" s="1365"/>
      <c r="E25" s="1365"/>
      <c r="F25" s="387"/>
      <c r="G25" s="387"/>
      <c r="H25" s="387"/>
      <c r="I25" s="387"/>
      <c r="J25" s="324"/>
      <c r="K25" s="387"/>
      <c r="L25" s="387"/>
      <c r="M25" s="387"/>
      <c r="N25" s="387"/>
      <c r="O25" s="387"/>
      <c r="P25" s="387"/>
      <c r="Q25" s="387"/>
      <c r="R25" s="387"/>
      <c r="S25" s="387"/>
      <c r="T25" s="387"/>
      <c r="U25" s="387"/>
      <c r="V25" s="387"/>
      <c r="W25" s="387"/>
      <c r="X25" s="387"/>
      <c r="Y25" s="387"/>
      <c r="Z25" s="387"/>
      <c r="AA25" s="387"/>
      <c r="AB25" s="387"/>
      <c r="AC25" s="387"/>
      <c r="AD25" s="387"/>
      <c r="AE25" s="387"/>
    </row>
    <row r="26" spans="1:31">
      <c r="A26" s="574"/>
      <c r="B26" s="441" t="s">
        <v>678</v>
      </c>
      <c r="C26" s="574"/>
      <c r="D26" s="574"/>
      <c r="E26" s="574"/>
      <c r="F26" s="387"/>
      <c r="G26" s="387"/>
      <c r="H26" s="387"/>
      <c r="I26" s="387"/>
      <c r="J26" s="324"/>
      <c r="K26" s="387"/>
      <c r="L26" s="387"/>
      <c r="M26" s="387"/>
      <c r="N26" s="387"/>
      <c r="O26" s="387"/>
      <c r="P26" s="387"/>
      <c r="Q26" s="387"/>
      <c r="R26" s="387"/>
      <c r="S26" s="387"/>
      <c r="T26" s="387"/>
      <c r="U26" s="387"/>
      <c r="V26" s="387"/>
      <c r="W26" s="387"/>
      <c r="X26" s="387"/>
      <c r="Y26" s="387"/>
      <c r="Z26" s="387"/>
      <c r="AA26" s="387"/>
      <c r="AB26" s="387"/>
      <c r="AC26" s="387"/>
      <c r="AD26" s="387"/>
      <c r="AE26" s="387"/>
    </row>
    <row r="27" spans="1:31">
      <c r="A27" s="574"/>
      <c r="B27" s="441" t="s">
        <v>679</v>
      </c>
      <c r="C27" s="574"/>
      <c r="D27" s="574"/>
      <c r="E27" s="574"/>
      <c r="F27" s="387"/>
      <c r="G27" s="387"/>
      <c r="H27" s="387"/>
      <c r="I27" s="387"/>
      <c r="J27" s="324"/>
      <c r="K27" s="387"/>
      <c r="L27" s="387"/>
      <c r="M27" s="387"/>
      <c r="N27" s="387"/>
      <c r="O27" s="387"/>
      <c r="P27" s="387"/>
      <c r="Q27" s="387"/>
      <c r="R27" s="387"/>
      <c r="S27" s="387"/>
      <c r="T27" s="387"/>
      <c r="U27" s="387"/>
      <c r="V27" s="387"/>
      <c r="W27" s="387"/>
      <c r="X27" s="387"/>
      <c r="Y27" s="387"/>
      <c r="Z27" s="387"/>
      <c r="AA27" s="387"/>
      <c r="AB27" s="387"/>
      <c r="AC27" s="387"/>
      <c r="AD27" s="387"/>
      <c r="AE27" s="387"/>
    </row>
    <row r="28" spans="1:31">
      <c r="A28" s="574"/>
      <c r="B28" s="441" t="s">
        <v>671</v>
      </c>
      <c r="C28" s="574"/>
      <c r="D28" s="574"/>
      <c r="E28" s="574"/>
      <c r="F28" s="387"/>
      <c r="G28" s="387"/>
      <c r="H28" s="387"/>
      <c r="I28" s="387"/>
      <c r="J28" s="324"/>
      <c r="K28" s="387"/>
      <c r="L28" s="387"/>
      <c r="M28" s="387"/>
      <c r="N28" s="387"/>
      <c r="O28" s="387"/>
      <c r="P28" s="387"/>
      <c r="Q28" s="387"/>
      <c r="R28" s="387"/>
      <c r="S28" s="387"/>
      <c r="T28" s="387"/>
      <c r="U28" s="387"/>
      <c r="V28" s="387"/>
      <c r="W28" s="387"/>
      <c r="X28" s="387"/>
      <c r="Y28" s="387"/>
      <c r="Z28" s="387"/>
      <c r="AA28" s="387"/>
      <c r="AB28" s="387"/>
      <c r="AC28" s="387"/>
      <c r="AD28" s="387"/>
      <c r="AE28" s="387"/>
    </row>
    <row r="29" spans="1:31" ht="30" customHeight="1">
      <c r="A29" s="396" t="s">
        <v>494</v>
      </c>
      <c r="B29" s="1365" t="s">
        <v>680</v>
      </c>
      <c r="C29" s="1365"/>
      <c r="D29" s="1365"/>
      <c r="E29" s="1365"/>
      <c r="F29" s="387"/>
      <c r="G29" s="387"/>
      <c r="H29" s="387"/>
      <c r="I29" s="387"/>
      <c r="J29" s="324"/>
      <c r="K29" s="387"/>
      <c r="L29" s="387"/>
      <c r="M29" s="387"/>
      <c r="N29" s="387"/>
      <c r="O29" s="387"/>
      <c r="P29" s="387"/>
      <c r="Q29" s="387"/>
      <c r="R29" s="387"/>
      <c r="S29" s="387"/>
      <c r="T29" s="387"/>
      <c r="U29" s="387"/>
      <c r="V29" s="387"/>
      <c r="W29" s="387"/>
      <c r="X29" s="387"/>
      <c r="Y29" s="387"/>
      <c r="Z29" s="387"/>
      <c r="AA29" s="387"/>
      <c r="AB29" s="387"/>
      <c r="AC29" s="387"/>
      <c r="AD29" s="387"/>
      <c r="AE29" s="387"/>
    </row>
    <row r="30" spans="1:31" ht="33" customHeight="1">
      <c r="A30" s="396" t="s">
        <v>494</v>
      </c>
      <c r="B30" s="1365" t="s">
        <v>1136</v>
      </c>
      <c r="C30" s="1365"/>
      <c r="D30" s="1365"/>
      <c r="E30" s="1365"/>
      <c r="F30" s="387"/>
      <c r="G30" s="387"/>
      <c r="H30" s="387"/>
      <c r="I30" s="387"/>
      <c r="J30" s="324"/>
      <c r="K30" s="387"/>
      <c r="L30" s="387"/>
      <c r="M30" s="387"/>
      <c r="N30" s="387"/>
      <c r="O30" s="387"/>
      <c r="P30" s="387"/>
      <c r="Q30" s="387"/>
      <c r="R30" s="387"/>
      <c r="S30" s="387"/>
      <c r="T30" s="387"/>
      <c r="U30" s="387"/>
      <c r="V30" s="387"/>
      <c r="W30" s="387"/>
      <c r="X30" s="387"/>
      <c r="Y30" s="387"/>
      <c r="Z30" s="387"/>
      <c r="AA30" s="387"/>
      <c r="AB30" s="387"/>
      <c r="AC30" s="387"/>
      <c r="AD30" s="387"/>
      <c r="AE30" s="387"/>
    </row>
    <row r="31" spans="1:31" ht="68.25" customHeight="1">
      <c r="A31" s="396" t="s">
        <v>494</v>
      </c>
      <c r="B31" s="1365" t="s">
        <v>681</v>
      </c>
      <c r="C31" s="1365"/>
      <c r="D31" s="1365"/>
      <c r="E31" s="1365"/>
      <c r="F31" s="387"/>
      <c r="G31" s="387"/>
      <c r="H31" s="387"/>
      <c r="I31" s="387"/>
      <c r="J31" s="230"/>
      <c r="K31" s="387"/>
      <c r="L31" s="387"/>
      <c r="M31" s="387"/>
      <c r="N31" s="387"/>
      <c r="O31" s="387"/>
      <c r="P31" s="387"/>
      <c r="Q31" s="387"/>
      <c r="R31" s="387"/>
      <c r="S31" s="387"/>
      <c r="T31" s="387"/>
      <c r="U31" s="387"/>
      <c r="V31" s="387"/>
      <c r="W31" s="387"/>
      <c r="X31" s="387"/>
      <c r="Y31" s="387"/>
      <c r="Z31" s="387"/>
      <c r="AA31" s="387"/>
      <c r="AB31" s="387"/>
      <c r="AC31" s="387"/>
      <c r="AD31" s="387"/>
      <c r="AE31" s="387"/>
    </row>
    <row r="32" spans="1:31">
      <c r="A32" s="396" t="s">
        <v>494</v>
      </c>
      <c r="B32" s="1086" t="s">
        <v>1347</v>
      </c>
      <c r="C32" s="387"/>
      <c r="D32" s="387"/>
      <c r="E32" s="387"/>
      <c r="F32" s="387"/>
      <c r="G32" s="387"/>
      <c r="H32" s="387"/>
      <c r="I32" s="387"/>
      <c r="J32" s="257"/>
      <c r="K32" s="387"/>
      <c r="L32" s="387"/>
      <c r="M32" s="387"/>
      <c r="N32" s="387"/>
      <c r="O32" s="387"/>
      <c r="P32" s="387"/>
      <c r="Q32" s="387"/>
      <c r="R32" s="387"/>
      <c r="S32" s="387"/>
      <c r="T32" s="387"/>
      <c r="U32" s="387"/>
      <c r="V32" s="387"/>
      <c r="W32" s="387"/>
      <c r="X32" s="387"/>
      <c r="Y32" s="387"/>
      <c r="Z32" s="387"/>
      <c r="AA32" s="387"/>
      <c r="AB32" s="387"/>
      <c r="AC32" s="387"/>
      <c r="AD32" s="387"/>
      <c r="AE32" s="387"/>
    </row>
    <row r="33" spans="1:31">
      <c r="A33" s="387"/>
      <c r="B33" s="387"/>
      <c r="C33" s="387"/>
      <c r="D33" s="387"/>
      <c r="E33" s="387"/>
      <c r="F33" s="387"/>
      <c r="G33" s="387"/>
      <c r="H33" s="387"/>
      <c r="I33" s="387"/>
      <c r="J33" s="230"/>
      <c r="K33" s="387"/>
      <c r="L33" s="387"/>
      <c r="M33" s="387"/>
      <c r="N33" s="387"/>
      <c r="O33" s="387"/>
      <c r="P33" s="387"/>
      <c r="Q33" s="387"/>
      <c r="R33" s="387"/>
      <c r="S33" s="387"/>
      <c r="T33" s="387"/>
      <c r="U33" s="387"/>
      <c r="V33" s="387"/>
      <c r="W33" s="387"/>
      <c r="X33" s="387"/>
      <c r="Y33" s="387"/>
      <c r="Z33" s="387"/>
      <c r="AA33" s="387"/>
      <c r="AB33" s="387"/>
      <c r="AC33" s="387"/>
      <c r="AD33" s="387"/>
      <c r="AE33" s="387"/>
    </row>
    <row r="34" spans="1:31">
      <c r="A34" s="387"/>
      <c r="B34" s="387"/>
      <c r="C34" s="387"/>
      <c r="D34" s="387"/>
      <c r="E34" s="387"/>
      <c r="F34" s="387"/>
      <c r="G34" s="387"/>
      <c r="H34" s="387"/>
      <c r="I34" s="387"/>
      <c r="J34" s="230"/>
      <c r="K34" s="387"/>
      <c r="L34" s="387"/>
      <c r="M34" s="387"/>
      <c r="N34" s="387"/>
      <c r="O34" s="387"/>
      <c r="P34" s="387"/>
      <c r="Q34" s="387"/>
      <c r="R34" s="387"/>
      <c r="S34" s="387"/>
      <c r="T34" s="387"/>
      <c r="U34" s="387"/>
      <c r="V34" s="387"/>
      <c r="W34" s="387"/>
      <c r="X34" s="387"/>
      <c r="Y34" s="387"/>
      <c r="Z34" s="387"/>
      <c r="AA34" s="387"/>
      <c r="AB34" s="387"/>
      <c r="AC34" s="387"/>
      <c r="AD34" s="387"/>
      <c r="AE34" s="387"/>
    </row>
    <row r="35" spans="1:31">
      <c r="A35" s="387"/>
      <c r="B35" s="387"/>
      <c r="C35" s="387"/>
      <c r="D35" s="387"/>
      <c r="E35" s="387"/>
      <c r="F35" s="387"/>
      <c r="G35" s="387"/>
      <c r="H35" s="387"/>
      <c r="I35" s="387"/>
      <c r="J35" s="230"/>
      <c r="K35" s="387"/>
      <c r="L35" s="387"/>
      <c r="M35" s="387"/>
      <c r="N35" s="387"/>
      <c r="O35" s="387"/>
      <c r="P35" s="387"/>
      <c r="Q35" s="387"/>
      <c r="R35" s="387"/>
      <c r="S35" s="387"/>
      <c r="T35" s="387"/>
      <c r="U35" s="387"/>
      <c r="V35" s="387"/>
      <c r="W35" s="387"/>
      <c r="X35" s="387"/>
      <c r="Y35" s="387"/>
      <c r="Z35" s="387"/>
      <c r="AA35" s="387"/>
      <c r="AB35" s="387"/>
      <c r="AC35" s="387"/>
      <c r="AD35" s="387"/>
      <c r="AE35" s="387"/>
    </row>
    <row r="36" spans="1:31">
      <c r="A36" s="387"/>
      <c r="B36" s="387"/>
      <c r="C36" s="387"/>
      <c r="D36" s="387"/>
      <c r="E36" s="387"/>
      <c r="F36" s="387"/>
      <c r="G36" s="387"/>
      <c r="H36" s="387"/>
      <c r="I36" s="387"/>
      <c r="J36" s="230"/>
      <c r="K36" s="387"/>
      <c r="L36" s="387"/>
      <c r="M36" s="387"/>
      <c r="N36" s="387"/>
      <c r="O36" s="387"/>
      <c r="P36" s="387"/>
      <c r="Q36" s="387"/>
      <c r="R36" s="387"/>
      <c r="S36" s="387"/>
      <c r="T36" s="387"/>
      <c r="U36" s="387"/>
      <c r="V36" s="387"/>
      <c r="W36" s="387"/>
      <c r="X36" s="387"/>
      <c r="Y36" s="387"/>
      <c r="Z36" s="387"/>
      <c r="AA36" s="387"/>
      <c r="AB36" s="387"/>
      <c r="AC36" s="387"/>
      <c r="AD36" s="387"/>
      <c r="AE36" s="387"/>
    </row>
    <row r="37" spans="1:31">
      <c r="A37" s="387"/>
      <c r="B37" s="387"/>
      <c r="C37" s="387"/>
      <c r="D37" s="387"/>
      <c r="E37" s="387"/>
      <c r="F37" s="387"/>
      <c r="G37" s="387"/>
      <c r="H37" s="387"/>
      <c r="I37" s="387"/>
      <c r="J37" s="230"/>
      <c r="K37" s="387"/>
      <c r="L37" s="387"/>
      <c r="M37" s="387"/>
      <c r="N37" s="387"/>
      <c r="O37" s="387"/>
      <c r="P37" s="387"/>
      <c r="Q37" s="387"/>
      <c r="R37" s="387"/>
      <c r="S37" s="387"/>
      <c r="T37" s="387"/>
      <c r="U37" s="387"/>
      <c r="V37" s="387"/>
      <c r="W37" s="387"/>
      <c r="X37" s="387"/>
      <c r="Y37" s="387"/>
      <c r="Z37" s="387"/>
      <c r="AA37" s="387"/>
      <c r="AB37" s="387"/>
      <c r="AC37" s="387"/>
      <c r="AD37" s="387"/>
      <c r="AE37" s="387"/>
    </row>
    <row r="38" spans="1:31">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row>
    <row r="39" spans="1:31">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row>
    <row r="40" spans="1:31">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c r="AE40" s="387"/>
    </row>
    <row r="41" spans="1:31">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c r="AE41" s="387"/>
    </row>
    <row r="42" spans="1:31">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c r="AE42" s="387"/>
    </row>
    <row r="43" spans="1:31">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c r="AE43" s="387"/>
    </row>
    <row r="44" spans="1:31">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row>
    <row r="45" spans="1:31">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c r="AE45" s="387"/>
    </row>
    <row r="46" spans="1:31">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row>
    <row r="47" spans="1:31">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c r="AE47" s="387"/>
    </row>
    <row r="48" spans="1:31">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c r="AE48" s="387"/>
    </row>
    <row r="49" spans="1:31">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c r="AE49" s="387"/>
    </row>
    <row r="50" spans="1:31">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c r="AE50" s="387"/>
    </row>
    <row r="51" spans="1:31">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c r="AE51" s="387"/>
    </row>
    <row r="52" spans="1:31">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c r="AE52" s="387"/>
    </row>
    <row r="53" spans="1:31">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c r="AE53" s="387"/>
    </row>
    <row r="54" spans="1:31">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c r="AE54" s="387"/>
    </row>
    <row r="55" spans="1:31">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c r="AE55" s="387"/>
    </row>
    <row r="56" spans="1:31">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c r="AE56" s="387"/>
    </row>
    <row r="57" spans="1:31">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c r="AE57" s="387"/>
    </row>
    <row r="58" spans="1:31">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c r="AE58" s="387"/>
    </row>
    <row r="59" spans="1:31">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c r="AE59" s="387"/>
    </row>
    <row r="60" spans="1:31">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c r="AE60" s="387"/>
    </row>
    <row r="61" spans="1:31">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c r="AE61" s="387"/>
    </row>
    <row r="62" spans="1:31">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c r="AE62" s="387"/>
    </row>
    <row r="63" spans="1:31">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c r="AE63" s="387"/>
    </row>
    <row r="64" spans="1:31">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c r="AE64" s="387"/>
    </row>
    <row r="65" spans="1:31">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c r="AE65" s="387"/>
    </row>
    <row r="66" spans="1:31">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c r="AE66" s="387"/>
    </row>
    <row r="67" spans="1:31">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c r="AE67" s="387"/>
    </row>
    <row r="68" spans="1:31">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c r="AE68" s="387"/>
    </row>
    <row r="69" spans="1:31">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c r="AE69" s="387"/>
    </row>
    <row r="70" spans="1:31">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c r="AE70" s="387"/>
    </row>
    <row r="71" spans="1:31">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c r="AE71" s="387"/>
    </row>
    <row r="72" spans="1:31">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c r="AE72" s="387"/>
    </row>
    <row r="73" spans="1:31">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c r="AE73" s="387"/>
    </row>
    <row r="74" spans="1:31">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c r="AE74" s="387"/>
    </row>
    <row r="75" spans="1:31">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c r="AE75" s="387"/>
    </row>
    <row r="76" spans="1:31">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c r="AE76" s="387"/>
    </row>
    <row r="77" spans="1:31">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c r="AE77" s="387"/>
    </row>
    <row r="78" spans="1:31">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c r="AE78" s="387"/>
    </row>
    <row r="79" spans="1:31">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c r="AE79" s="387"/>
    </row>
    <row r="80" spans="1:31">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c r="AE80" s="387"/>
    </row>
    <row r="81" spans="1:31">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c r="AE81" s="387"/>
    </row>
    <row r="82" spans="1:31">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c r="AE82" s="387"/>
    </row>
    <row r="83" spans="1:31">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c r="AE83" s="387"/>
    </row>
    <row r="84" spans="1:31">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c r="AE84" s="387"/>
    </row>
    <row r="85" spans="1:31">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c r="AE85" s="387"/>
    </row>
    <row r="86" spans="1:31">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c r="AE86" s="387"/>
    </row>
    <row r="87" spans="1:31">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c r="AE87" s="387"/>
    </row>
    <row r="88" spans="1:31">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c r="AE88" s="387"/>
    </row>
    <row r="89" spans="1:31">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c r="AE89" s="387"/>
    </row>
    <row r="90" spans="1:31">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c r="AE90" s="387"/>
    </row>
    <row r="91" spans="1:31">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c r="AE91" s="387"/>
    </row>
    <row r="92" spans="1:31">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c r="AE92" s="387"/>
    </row>
    <row r="93" spans="1:31">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c r="AE93" s="387"/>
    </row>
    <row r="94" spans="1:31">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c r="AE94" s="387"/>
    </row>
    <row r="95" spans="1:31">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c r="AE95" s="387"/>
    </row>
    <row r="96" spans="1:31">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c r="AE96" s="387"/>
    </row>
    <row r="97" spans="1:31">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c r="AE97" s="387"/>
    </row>
    <row r="98" spans="1:31">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c r="AE98" s="387"/>
    </row>
    <row r="99" spans="1:31">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c r="AE99" s="387"/>
    </row>
    <row r="100" spans="1:31">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c r="AE100" s="387"/>
    </row>
    <row r="101" spans="1:31">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c r="AE101" s="387"/>
    </row>
    <row r="102" spans="1:31">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c r="AE102" s="387"/>
    </row>
    <row r="103" spans="1:31">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c r="AE103" s="387"/>
    </row>
    <row r="104" spans="1:31">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c r="AE104" s="387"/>
    </row>
    <row r="105" spans="1:31">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c r="AE105" s="387"/>
    </row>
    <row r="106" spans="1:31">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c r="AE106" s="387"/>
    </row>
    <row r="107" spans="1:31">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c r="AE107" s="387"/>
    </row>
    <row r="108" spans="1:31">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c r="AE108" s="387"/>
    </row>
    <row r="109" spans="1:31">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c r="AE109" s="387"/>
    </row>
    <row r="110" spans="1:31">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c r="AE110" s="387"/>
    </row>
    <row r="111" spans="1:31">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c r="AE111" s="387"/>
    </row>
    <row r="112" spans="1:31">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c r="AE112" s="387"/>
    </row>
    <row r="113" spans="1:31">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c r="AE113" s="387"/>
    </row>
    <row r="114" spans="1:31">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c r="AE114" s="387"/>
    </row>
    <row r="115" spans="1:31">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c r="AE115" s="387"/>
    </row>
    <row r="116" spans="1:31">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c r="AE116" s="387"/>
    </row>
    <row r="117" spans="1:31">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c r="AE117" s="387"/>
    </row>
    <row r="118" spans="1:31">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c r="AE118" s="387"/>
    </row>
    <row r="119" spans="1:31">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c r="AE119" s="387"/>
    </row>
    <row r="120" spans="1:31">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c r="AE120" s="387"/>
    </row>
    <row r="121" spans="1:31">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c r="AE121" s="387"/>
    </row>
    <row r="122" spans="1:31">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c r="AE122" s="387"/>
    </row>
    <row r="123" spans="1:31">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c r="AE123" s="387"/>
    </row>
    <row r="124" spans="1:31">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c r="AE124" s="387"/>
    </row>
    <row r="125" spans="1:31">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c r="AE125" s="387"/>
    </row>
    <row r="126" spans="1:31">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c r="AE126" s="387"/>
    </row>
    <row r="127" spans="1:31">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c r="AE127" s="387"/>
    </row>
    <row r="128" spans="1:31">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c r="AE128" s="387"/>
    </row>
    <row r="129" spans="1:31">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c r="AE129" s="387"/>
    </row>
    <row r="130" spans="1:31">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c r="AE130" s="387"/>
    </row>
    <row r="131" spans="1:31">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c r="AE131" s="387"/>
    </row>
    <row r="132" spans="1:31">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c r="AE132" s="387"/>
    </row>
    <row r="133" spans="1:31">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c r="AE133" s="387"/>
    </row>
    <row r="134" spans="1:31">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c r="AE134" s="387"/>
    </row>
    <row r="135" spans="1:31">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row>
    <row r="136" spans="1:31">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row>
    <row r="137" spans="1:31">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c r="AE137" s="387"/>
    </row>
    <row r="138" spans="1:31">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row>
    <row r="139" spans="1:31">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row>
    <row r="140" spans="1:31">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row>
    <row r="141" spans="1:31">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row>
    <row r="142" spans="1:31">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row>
    <row r="143" spans="1:31">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row>
    <row r="144" spans="1:31">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row>
    <row r="145" spans="1:31">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row>
    <row r="146" spans="1:31">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row>
    <row r="147" spans="1:31">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c r="AE147" s="387"/>
    </row>
    <row r="148" spans="1:31">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row>
    <row r="149" spans="1:31">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row>
    <row r="150" spans="1:31">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row>
    <row r="151" spans="1:31">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row>
    <row r="152" spans="1:31">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row>
    <row r="153" spans="1:31">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row>
    <row r="154" spans="1:31">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row>
    <row r="155" spans="1:31">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c r="AE155" s="387"/>
    </row>
    <row r="156" spans="1:31">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row>
    <row r="157" spans="1:31">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c r="AE157" s="387"/>
    </row>
    <row r="158" spans="1:31">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row>
    <row r="159" spans="1:31">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c r="AE159" s="387"/>
    </row>
    <row r="160" spans="1:31">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row>
    <row r="161" spans="1:31">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row>
    <row r="162" spans="1:31">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c r="AE162" s="387"/>
    </row>
    <row r="163" spans="1:31">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row>
    <row r="164" spans="1:31">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row>
    <row r="165" spans="1:31">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row>
    <row r="166" spans="1:31">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c r="AE166" s="387"/>
    </row>
    <row r="167" spans="1:31">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row>
    <row r="168" spans="1:31">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c r="AE168" s="387"/>
    </row>
    <row r="169" spans="1:31">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c r="AE169" s="387"/>
    </row>
    <row r="170" spans="1:31">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c r="AE170" s="387"/>
    </row>
    <row r="171" spans="1:31">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c r="AE171" s="387"/>
    </row>
    <row r="172" spans="1:31">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c r="AE172" s="387"/>
    </row>
    <row r="173" spans="1:31">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c r="AE173" s="387"/>
    </row>
    <row r="174" spans="1:31">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c r="AE174" s="387"/>
    </row>
    <row r="175" spans="1:31">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c r="AE175" s="387"/>
    </row>
    <row r="176" spans="1:31">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row>
    <row r="177" spans="1:31">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c r="AE177" s="387"/>
    </row>
    <row r="178" spans="1:31">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row>
    <row r="179" spans="1:31">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c r="AE179" s="387"/>
    </row>
    <row r="180" spans="1:31">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c r="AE180" s="387"/>
    </row>
    <row r="181" spans="1:31">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c r="AE181" s="387"/>
    </row>
    <row r="182" spans="1:31">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c r="AE182" s="387"/>
    </row>
    <row r="183" spans="1:31">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c r="AE183" s="387"/>
    </row>
    <row r="184" spans="1:31">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row>
    <row r="185" spans="1:31">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row>
    <row r="186" spans="1:31">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row>
    <row r="187" spans="1:31">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c r="AE187" s="387"/>
    </row>
    <row r="188" spans="1:31">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c r="AE188" s="387"/>
    </row>
    <row r="189" spans="1:31">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c r="AE189" s="387"/>
    </row>
    <row r="190" spans="1:31">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c r="AE190" s="387"/>
    </row>
    <row r="191" spans="1:31">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c r="AE191" s="387"/>
    </row>
    <row r="192" spans="1:31">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c r="AE192" s="387"/>
    </row>
    <row r="193" spans="1:31">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c r="AE193" s="387"/>
    </row>
    <row r="194" spans="1:31">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row>
    <row r="195" spans="1:31">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row>
    <row r="196" spans="1:31">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row>
    <row r="197" spans="1:31">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row>
    <row r="198" spans="1:31">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row>
    <row r="199" spans="1:31">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row>
    <row r="200" spans="1:31">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row>
    <row r="201" spans="1:31">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row>
    <row r="202" spans="1:31">
      <c r="A202" s="387"/>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row>
    <row r="203" spans="1:31">
      <c r="A203" s="387"/>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row>
    <row r="204" spans="1:31">
      <c r="A204" s="387"/>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row>
    <row r="205" spans="1:31">
      <c r="A205" s="387"/>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row>
    <row r="206" spans="1:31">
      <c r="A206" s="387"/>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row>
  </sheetData>
  <sheetProtection sheet="1" objects="1" scenarios="1"/>
  <mergeCells count="10">
    <mergeCell ref="B31:E31"/>
    <mergeCell ref="B29:E29"/>
    <mergeCell ref="B30:E30"/>
    <mergeCell ref="A6:E6"/>
    <mergeCell ref="A9:E9"/>
    <mergeCell ref="A18:E18"/>
    <mergeCell ref="B13:E13"/>
    <mergeCell ref="B14:E14"/>
    <mergeCell ref="B15:E15"/>
    <mergeCell ref="B25:E25"/>
  </mergeCells>
  <hyperlinks>
    <hyperlink ref="A10" r:id="rId1" xr:uid="{00000000-0004-0000-16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4817" r:id="rId5" name="CommandButton1">
          <controlPr autoLine="0" r:id="rId6">
            <anchor moveWithCells="1" sizeWithCells="1">
              <from>
                <xdr:col>1</xdr:col>
                <xdr:colOff>66675</xdr:colOff>
                <xdr:row>0</xdr:row>
                <xdr:rowOff>142875</xdr:rowOff>
              </from>
              <to>
                <xdr:col>1</xdr:col>
                <xdr:colOff>981075</xdr:colOff>
                <xdr:row>1</xdr:row>
                <xdr:rowOff>142875</xdr:rowOff>
              </to>
            </anchor>
          </controlPr>
        </control>
      </mc:Choice>
      <mc:Fallback>
        <control shapeId="34817" r:id="rId5" name="CommandButton1"/>
      </mc:Fallback>
    </mc:AlternateContent>
    <mc:AlternateContent xmlns:mc="http://schemas.openxmlformats.org/markup-compatibility/2006">
      <mc:Choice Requires="x14">
        <control shapeId="34818" r:id="rId7" name="CommandButton2">
          <controlPr autoLine="0" r:id="rId8">
            <anchor moveWithCells="1" sizeWithCells="1">
              <from>
                <xdr:col>1</xdr:col>
                <xdr:colOff>1181100</xdr:colOff>
                <xdr:row>0</xdr:row>
                <xdr:rowOff>133350</xdr:rowOff>
              </from>
              <to>
                <xdr:col>2</xdr:col>
                <xdr:colOff>228600</xdr:colOff>
                <xdr:row>1</xdr:row>
                <xdr:rowOff>133350</xdr:rowOff>
              </to>
            </anchor>
          </controlPr>
        </control>
      </mc:Choice>
      <mc:Fallback>
        <control shapeId="34818" r:id="rId7" name="CommandButton2"/>
      </mc:Fallback>
    </mc:AlternateContent>
  </control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1:AD202"/>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388" t="s">
        <v>931</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389"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67.5" customHeight="1">
      <c r="A6" s="1355" t="s">
        <v>639</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392"/>
      <c r="B7" s="392"/>
      <c r="C7" s="392"/>
      <c r="D7" s="392"/>
      <c r="E7" s="392"/>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393" t="s">
        <v>490</v>
      </c>
      <c r="B8" s="392"/>
      <c r="C8" s="392"/>
      <c r="D8" s="392"/>
      <c r="E8" s="392"/>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102.75" customHeight="1">
      <c r="A9" s="1355" t="s">
        <v>611</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397" t="s">
        <v>543</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728</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729</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396" t="s">
        <v>494</v>
      </c>
      <c r="B13" s="1365" t="s">
        <v>730</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6" t="s">
        <v>494</v>
      </c>
      <c r="B14" s="1365" t="s">
        <v>683</v>
      </c>
      <c r="C14" s="1365"/>
      <c r="D14" s="1365"/>
      <c r="E14" s="1365"/>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396" t="s">
        <v>494</v>
      </c>
      <c r="B15" s="1365" t="s">
        <v>610</v>
      </c>
      <c r="C15" s="1365"/>
      <c r="D15" s="1365"/>
      <c r="E15" s="1365"/>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396"/>
      <c r="B16" s="575"/>
      <c r="C16" s="575"/>
      <c r="D16" s="575"/>
      <c r="E16" s="575"/>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94" t="s">
        <v>491</v>
      </c>
      <c r="B17" s="392"/>
      <c r="C17" s="392"/>
      <c r="D17" s="392"/>
      <c r="E17" s="392"/>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ht="50.25" customHeight="1">
      <c r="A18" s="1355" t="s">
        <v>819</v>
      </c>
      <c r="B18" s="1355"/>
      <c r="C18" s="1355"/>
      <c r="D18" s="1355"/>
      <c r="E18" s="1355"/>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ht="44.25" customHeight="1">
      <c r="A19" s="392"/>
      <c r="B19" s="1360" t="s">
        <v>684</v>
      </c>
      <c r="C19" s="1360"/>
      <c r="D19" s="1360"/>
      <c r="E19" s="1360"/>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79.5" customHeight="1">
      <c r="A20" s="392"/>
      <c r="B20" s="1360" t="s">
        <v>685</v>
      </c>
      <c r="C20" s="1360"/>
      <c r="D20" s="1360"/>
      <c r="E20" s="1360"/>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ht="66" customHeight="1">
      <c r="A21" s="387"/>
      <c r="B21" s="1360" t="s">
        <v>666</v>
      </c>
      <c r="C21" s="1360"/>
      <c r="D21" s="1360"/>
      <c r="E21" s="1360"/>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94" t="s">
        <v>497</v>
      </c>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ht="29.25" customHeight="1">
      <c r="A24" s="396" t="s">
        <v>494</v>
      </c>
      <c r="B24" s="1365" t="s">
        <v>1138</v>
      </c>
      <c r="C24" s="1365"/>
      <c r="D24" s="1365"/>
      <c r="E24" s="1365"/>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ht="32.25" customHeight="1">
      <c r="A25" s="396" t="s">
        <v>494</v>
      </c>
      <c r="B25" s="1365" t="s">
        <v>686</v>
      </c>
      <c r="C25" s="1365"/>
      <c r="D25" s="1365"/>
      <c r="E25" s="1365"/>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ht="27.75" customHeight="1">
      <c r="A26" s="396" t="s">
        <v>494</v>
      </c>
      <c r="B26" s="1365" t="s">
        <v>1139</v>
      </c>
      <c r="C26" s="1365"/>
      <c r="D26" s="1365"/>
      <c r="E26" s="1365"/>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47" t="s">
        <v>609</v>
      </c>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ht="29.25" customHeight="1">
      <c r="A28" s="396" t="s">
        <v>494</v>
      </c>
      <c r="B28" s="1365" t="s">
        <v>651</v>
      </c>
      <c r="C28" s="1365"/>
      <c r="D28" s="1365"/>
      <c r="E28" s="1365"/>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row r="201" spans="1:30">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row>
    <row r="202" spans="1:30">
      <c r="A202" s="387"/>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row>
  </sheetData>
  <sheetProtection sheet="1"/>
  <mergeCells count="15">
    <mergeCell ref="B28:E28"/>
    <mergeCell ref="B26:E26"/>
    <mergeCell ref="B21:E21"/>
    <mergeCell ref="B14:E14"/>
    <mergeCell ref="B15:E15"/>
    <mergeCell ref="B24:E24"/>
    <mergeCell ref="B25:E25"/>
    <mergeCell ref="A6:E6"/>
    <mergeCell ref="A9:E9"/>
    <mergeCell ref="A18:E18"/>
    <mergeCell ref="B19:E19"/>
    <mergeCell ref="B20:E20"/>
    <mergeCell ref="B11:E11"/>
    <mergeCell ref="B12:E12"/>
    <mergeCell ref="B13:E13"/>
  </mergeCells>
  <hyperlinks>
    <hyperlink ref="B27" r:id="rId1" xr:uid="{00000000-0004-0000-1700-000000000000}"/>
  </hyperlinks>
  <pageMargins left="0.25" right="0.25" top="0.25" bottom="0.5" header="0.5" footer="0.25"/>
  <pageSetup orientation="portrait" r:id="rId2"/>
  <headerFooter alignWithMargins="0">
    <oddFooter>&amp;L&amp;"Arial,Italic"&amp;9EPA Climate Leaders Simplified GHG Emissions Calculator (Direct 1.0)&amp;R&amp;"Arial,Italic"&amp;9&amp;P of &amp;N</oddFooter>
  </headerFooter>
  <drawing r:id="rId3"/>
  <legacyDrawing r:id="rId4"/>
  <controls>
    <mc:AlternateContent xmlns:mc="http://schemas.openxmlformats.org/markup-compatibility/2006">
      <mc:Choice Requires="x14">
        <control shapeId="35841" r:id="rId5" name="CommandButton1">
          <controlPr autoLine="0" r:id="rId6">
            <anchor moveWithCells="1" sizeWithCells="1">
              <from>
                <xdr:col>1</xdr:col>
                <xdr:colOff>66675</xdr:colOff>
                <xdr:row>0</xdr:row>
                <xdr:rowOff>142875</xdr:rowOff>
              </from>
              <to>
                <xdr:col>1</xdr:col>
                <xdr:colOff>981075</xdr:colOff>
                <xdr:row>1</xdr:row>
                <xdr:rowOff>142875</xdr:rowOff>
              </to>
            </anchor>
          </controlPr>
        </control>
      </mc:Choice>
      <mc:Fallback>
        <control shapeId="35841" r:id="rId5" name="CommandButton1"/>
      </mc:Fallback>
    </mc:AlternateContent>
    <mc:AlternateContent xmlns:mc="http://schemas.openxmlformats.org/markup-compatibility/2006">
      <mc:Choice Requires="x14">
        <control shapeId="35842" r:id="rId7" name="CommandButton2">
          <controlPr autoLine="0" r:id="rId8">
            <anchor moveWithCells="1" sizeWithCells="1">
              <from>
                <xdr:col>1</xdr:col>
                <xdr:colOff>1181100</xdr:colOff>
                <xdr:row>0</xdr:row>
                <xdr:rowOff>133350</xdr:rowOff>
              </from>
              <to>
                <xdr:col>2</xdr:col>
                <xdr:colOff>228600</xdr:colOff>
                <xdr:row>1</xdr:row>
                <xdr:rowOff>133350</xdr:rowOff>
              </to>
            </anchor>
          </controlPr>
        </control>
      </mc:Choice>
      <mc:Fallback>
        <control shapeId="35842" r:id="rId7" name="CommandButton2"/>
      </mc:Fallback>
    </mc:AlternateContent>
  </control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AD201"/>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932</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47.25" customHeight="1">
      <c r="A6" s="1355" t="s">
        <v>492</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54" customHeight="1">
      <c r="A9" s="1355" t="s">
        <v>493</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600</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ht="12.75" customHeight="1">
      <c r="A11" s="396" t="s">
        <v>494</v>
      </c>
      <c r="B11" s="1365" t="s">
        <v>731</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ht="12.75" customHeight="1">
      <c r="A12" s="396" t="s">
        <v>494</v>
      </c>
      <c r="B12" s="1365" t="s">
        <v>729</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ht="12.75" customHeight="1">
      <c r="A13" s="396" t="s">
        <v>494</v>
      </c>
      <c r="B13" s="1365" t="s">
        <v>732</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ht="12.75" customHeight="1">
      <c r="A14" s="396" t="s">
        <v>494</v>
      </c>
      <c r="B14" s="1365" t="s">
        <v>689</v>
      </c>
      <c r="C14" s="1365"/>
      <c r="D14" s="1365"/>
      <c r="E14" s="1365"/>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53"/>
      <c r="B15" s="453"/>
      <c r="C15" s="453"/>
      <c r="D15" s="453"/>
      <c r="E15" s="453"/>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438" t="s">
        <v>491</v>
      </c>
      <c r="B16" s="453"/>
      <c r="C16" s="453"/>
      <c r="D16" s="453"/>
      <c r="E16" s="453"/>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ht="31.5" customHeight="1">
      <c r="A17" s="1355" t="s">
        <v>820</v>
      </c>
      <c r="B17" s="1355"/>
      <c r="C17" s="1355"/>
      <c r="D17" s="1355"/>
      <c r="E17" s="1355"/>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453"/>
      <c r="B18" s="453"/>
      <c r="C18" s="453"/>
      <c r="D18" s="453"/>
      <c r="E18" s="453"/>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438" t="s">
        <v>497</v>
      </c>
      <c r="B19" s="453"/>
      <c r="C19" s="453"/>
      <c r="D19" s="453"/>
      <c r="E19" s="453"/>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15.75" customHeight="1">
      <c r="A20" s="396" t="s">
        <v>494</v>
      </c>
      <c r="B20" s="1365" t="s">
        <v>652</v>
      </c>
      <c r="C20" s="1365"/>
      <c r="D20" s="1365"/>
      <c r="E20" s="1365"/>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row r="201" spans="1:30">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row>
  </sheetData>
  <sheetProtection sheet="1"/>
  <mergeCells count="8">
    <mergeCell ref="B20:E20"/>
    <mergeCell ref="A6:E6"/>
    <mergeCell ref="A9:E9"/>
    <mergeCell ref="A17:E17"/>
    <mergeCell ref="B11:E11"/>
    <mergeCell ref="B14:E14"/>
    <mergeCell ref="B12:E12"/>
    <mergeCell ref="B13:E13"/>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6865"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36865" r:id="rId4" name="CommandButton1"/>
      </mc:Fallback>
    </mc:AlternateContent>
    <mc:AlternateContent xmlns:mc="http://schemas.openxmlformats.org/markup-compatibility/2006">
      <mc:Choice Requires="x14">
        <control shapeId="36866"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6866" r:id="rId6" name="CommandButton2"/>
      </mc:Fallback>
    </mc:AlternateContent>
  </control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4"/>
  <dimension ref="A1:AD199"/>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256" t="s">
        <v>933</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67.5" customHeight="1">
      <c r="A6" s="1355" t="s">
        <v>775</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44.25" customHeight="1">
      <c r="A9" s="1355" t="s">
        <v>907</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c r="A10" s="455"/>
      <c r="B10" s="439"/>
      <c r="C10" s="455"/>
      <c r="D10" s="455"/>
      <c r="E10" s="455"/>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ht="17.25" customHeight="1">
      <c r="A11" s="437" t="s">
        <v>603</v>
      </c>
      <c r="B11" s="387"/>
      <c r="C11" s="387"/>
      <c r="D11" s="387"/>
      <c r="E11" s="387"/>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604</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ht="12.75" customHeight="1">
      <c r="A13" s="396" t="s">
        <v>494</v>
      </c>
      <c r="B13" s="1365" t="s">
        <v>605</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6" t="s">
        <v>494</v>
      </c>
      <c r="B14" s="1365" t="s">
        <v>606</v>
      </c>
      <c r="C14" s="1365"/>
      <c r="D14" s="1365"/>
      <c r="E14" s="1365"/>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53"/>
      <c r="B15" s="453"/>
      <c r="C15" s="453"/>
      <c r="D15" s="453"/>
      <c r="E15" s="453"/>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438" t="s">
        <v>491</v>
      </c>
      <c r="B16" s="453"/>
      <c r="C16" s="453"/>
      <c r="D16" s="453"/>
      <c r="E16" s="453"/>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ht="31.5" customHeight="1">
      <c r="A17" s="1355" t="s">
        <v>821</v>
      </c>
      <c r="B17" s="1355"/>
      <c r="C17" s="1355"/>
      <c r="D17" s="1355"/>
      <c r="E17" s="1355"/>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455"/>
      <c r="B18" s="455"/>
      <c r="C18" s="455"/>
      <c r="D18" s="455"/>
      <c r="E18" s="455"/>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438" t="s">
        <v>497</v>
      </c>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29.25" customHeight="1">
      <c r="A20" s="396" t="s">
        <v>494</v>
      </c>
      <c r="B20" s="1365" t="s">
        <v>690</v>
      </c>
      <c r="C20" s="1365"/>
      <c r="D20" s="1365"/>
      <c r="E20" s="1365"/>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453"/>
      <c r="B21" s="453"/>
      <c r="C21" s="453"/>
      <c r="D21" s="453"/>
      <c r="E21" s="453"/>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230"/>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sheetData>
  <sheetProtection sheet="1"/>
  <mergeCells count="7">
    <mergeCell ref="B20:E20"/>
    <mergeCell ref="A6:E6"/>
    <mergeCell ref="A9:E9"/>
    <mergeCell ref="A17:E17"/>
    <mergeCell ref="B12:E12"/>
    <mergeCell ref="B13:E13"/>
    <mergeCell ref="B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6081"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6081" r:id="rId4" name="CommandButton1"/>
      </mc:Fallback>
    </mc:AlternateContent>
    <mc:AlternateContent xmlns:mc="http://schemas.openxmlformats.org/markup-compatibility/2006">
      <mc:Choice Requires="x14">
        <control shapeId="46082"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46082" r:id="rId6" name="CommandButton2"/>
      </mc:Fallback>
    </mc:AlternateContent>
  </control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5"/>
  <dimension ref="A1:AD200"/>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934</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42" customHeight="1">
      <c r="A6" s="1355" t="s">
        <v>667</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66.75" customHeight="1">
      <c r="A9" s="1355" t="s">
        <v>691</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603</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601</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692</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396" t="s">
        <v>494</v>
      </c>
      <c r="B13" s="1365" t="s">
        <v>602</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6"/>
      <c r="B14" s="454"/>
      <c r="C14" s="454"/>
      <c r="D14" s="454"/>
      <c r="E14" s="454"/>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38" t="s">
        <v>491</v>
      </c>
      <c r="B15" s="453"/>
      <c r="C15" s="453"/>
      <c r="D15" s="453"/>
      <c r="E15" s="453"/>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ht="29.25" customHeight="1">
      <c r="A16" s="1355" t="s">
        <v>822</v>
      </c>
      <c r="B16" s="1355"/>
      <c r="C16" s="1355"/>
      <c r="D16" s="1355"/>
      <c r="E16" s="1355"/>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453"/>
      <c r="B17" s="412"/>
      <c r="C17" s="453"/>
      <c r="D17" s="453"/>
      <c r="E17" s="453"/>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438"/>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434"/>
      <c r="B19" s="433"/>
      <c r="C19" s="453"/>
      <c r="D19" s="453"/>
      <c r="E19" s="453"/>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c r="A20" s="387"/>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sheetData>
  <sheetProtection sheet="1"/>
  <mergeCells count="6">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7889"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37889" r:id="rId4" name="CommandButton1"/>
      </mc:Fallback>
    </mc:AlternateContent>
    <mc:AlternateContent xmlns:mc="http://schemas.openxmlformats.org/markup-compatibility/2006">
      <mc:Choice Requires="x14">
        <control shapeId="37890"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7890" r:id="rId6" name="CommandButton2"/>
      </mc:Fallback>
    </mc:AlternateContent>
  </control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1:AD188"/>
  <sheetViews>
    <sheetView zoomScaleNormal="100" zoomScaleSheetLayoutView="100" workbookViewId="0">
      <pane ySplit="4" topLeftCell="A26" activePane="bottomLeft" state="frozen"/>
      <selection pane="bottomLeft" activeCell="B51" sqref="B51"/>
    </sheetView>
  </sheetViews>
  <sheetFormatPr defaultColWidth="9.140625" defaultRowHeight="12.75"/>
  <cols>
    <col min="1" max="1" width="9.7109375" style="386" customWidth="1"/>
    <col min="2" max="2" width="33.7109375" style="386" customWidth="1"/>
    <col min="3" max="6" width="15.42578125" style="386" customWidth="1"/>
    <col min="7"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928</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118.5" customHeight="1">
      <c r="A6" s="1355" t="s">
        <v>1120</v>
      </c>
      <c r="B6" s="1355"/>
      <c r="C6" s="1355"/>
      <c r="D6" s="1355"/>
      <c r="E6" s="1355"/>
      <c r="F6" s="1355"/>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576"/>
      <c r="E7" s="453"/>
      <c r="F7" s="453"/>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576"/>
      <c r="E8" s="453"/>
      <c r="F8" s="453"/>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91.5" customHeight="1">
      <c r="A9" s="1370" t="s">
        <v>1371</v>
      </c>
      <c r="B9" s="1355"/>
      <c r="C9" s="1355"/>
      <c r="D9" s="1355"/>
      <c r="E9" s="1355"/>
      <c r="F9" s="1355"/>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500</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ht="16.5" customHeight="1">
      <c r="A11" s="396" t="s">
        <v>494</v>
      </c>
      <c r="B11" s="1365" t="s">
        <v>608</v>
      </c>
      <c r="C11" s="1365"/>
      <c r="D11" s="1365"/>
      <c r="E11" s="1365"/>
      <c r="F11" s="1365"/>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ht="16.5" customHeight="1">
      <c r="A12" s="396" t="s">
        <v>494</v>
      </c>
      <c r="B12" s="1365" t="s">
        <v>939</v>
      </c>
      <c r="C12" s="1365"/>
      <c r="D12" s="1365"/>
      <c r="E12" s="1365"/>
      <c r="F12" s="1365"/>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ht="16.5" customHeight="1">
      <c r="A13" s="396" t="s">
        <v>494</v>
      </c>
      <c r="B13" s="1365" t="s">
        <v>940</v>
      </c>
      <c r="C13" s="1365"/>
      <c r="D13" s="1365"/>
      <c r="E13" s="1365"/>
      <c r="F13" s="1365"/>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453"/>
      <c r="B14" s="453"/>
      <c r="C14" s="453"/>
      <c r="D14" s="576"/>
      <c r="E14" s="453"/>
      <c r="F14" s="453"/>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38" t="s">
        <v>491</v>
      </c>
      <c r="B15" s="453"/>
      <c r="C15" s="453"/>
      <c r="D15" s="576"/>
      <c r="E15" s="453"/>
      <c r="F15" s="453"/>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ht="26.25" customHeight="1">
      <c r="A16" s="1355" t="s">
        <v>941</v>
      </c>
      <c r="B16" s="1355"/>
      <c r="C16" s="1355"/>
      <c r="D16" s="1355"/>
      <c r="E16" s="1355"/>
      <c r="F16" s="1355"/>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ht="47.25" customHeight="1">
      <c r="A17" s="1355" t="s">
        <v>1069</v>
      </c>
      <c r="B17" s="1355"/>
      <c r="C17" s="1355"/>
      <c r="D17" s="1355"/>
      <c r="E17" s="1355"/>
      <c r="F17" s="1355"/>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ht="60" customHeight="1">
      <c r="A18" s="1355" t="s">
        <v>1118</v>
      </c>
      <c r="B18" s="1355"/>
      <c r="C18" s="1355"/>
      <c r="D18" s="1355"/>
      <c r="E18" s="1355"/>
      <c r="F18" s="1355"/>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437"/>
      <c r="B19" s="780"/>
      <c r="C19" s="780"/>
      <c r="D19" s="780"/>
      <c r="E19" s="780"/>
      <c r="F19" s="780"/>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c r="A20" s="780"/>
      <c r="B20" s="780"/>
      <c r="C20" s="780"/>
      <c r="D20" s="780"/>
      <c r="E20" s="780"/>
      <c r="F20" s="780"/>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438" t="s">
        <v>497</v>
      </c>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ht="42" customHeight="1">
      <c r="A22" s="396" t="s">
        <v>494</v>
      </c>
      <c r="B22" s="1365" t="s">
        <v>1140</v>
      </c>
      <c r="C22" s="1365"/>
      <c r="D22" s="1365"/>
      <c r="E22" s="1365"/>
      <c r="F22" s="1365"/>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ht="29.25" customHeight="1">
      <c r="A23" s="396" t="s">
        <v>494</v>
      </c>
      <c r="B23" s="1365" t="s">
        <v>495</v>
      </c>
      <c r="C23" s="1365"/>
      <c r="D23" s="1365"/>
      <c r="E23" s="1365"/>
      <c r="F23" s="1365"/>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ht="27.75" customHeight="1">
      <c r="A24" s="396" t="s">
        <v>494</v>
      </c>
      <c r="B24" s="1365" t="s">
        <v>676</v>
      </c>
      <c r="C24" s="1365"/>
      <c r="D24" s="1365"/>
      <c r="E24" s="1365"/>
      <c r="F24" s="1365"/>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ht="58.5" customHeight="1">
      <c r="A25" s="396" t="s">
        <v>494</v>
      </c>
      <c r="B25" s="1365" t="s">
        <v>1063</v>
      </c>
      <c r="C25" s="1365"/>
      <c r="D25" s="1365"/>
      <c r="E25" s="1365"/>
      <c r="F25" s="1365"/>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ht="13.5" thickBot="1">
      <c r="A26" s="396"/>
      <c r="B26" s="387"/>
      <c r="C26" s="454"/>
      <c r="D26" s="575"/>
      <c r="E26" s="454"/>
      <c r="F26" s="454"/>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ht="12.75" customHeight="1" thickBot="1">
      <c r="A27" s="396"/>
      <c r="B27" s="435" t="s">
        <v>592</v>
      </c>
      <c r="C27" s="1367" t="s">
        <v>646</v>
      </c>
      <c r="D27" s="1368"/>
      <c r="E27" s="1368"/>
      <c r="F27" s="1369"/>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ht="12.75" customHeight="1" thickBot="1">
      <c r="A28" s="396"/>
      <c r="B28" s="619" t="s">
        <v>985</v>
      </c>
      <c r="C28" s="620" t="s">
        <v>599</v>
      </c>
      <c r="D28" s="621" t="s">
        <v>587</v>
      </c>
      <c r="E28" s="621" t="s">
        <v>588</v>
      </c>
      <c r="F28" s="622" t="s">
        <v>589</v>
      </c>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ht="12.75" customHeight="1">
      <c r="A29" s="396"/>
      <c r="B29" s="416" t="s">
        <v>967</v>
      </c>
      <c r="C29" s="578">
        <v>8.6999999999999993</v>
      </c>
      <c r="D29" s="578">
        <v>10.3</v>
      </c>
      <c r="E29" s="578">
        <v>12.6</v>
      </c>
      <c r="F29" s="579">
        <v>10</v>
      </c>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ht="12.75" customHeight="1">
      <c r="A30" s="453"/>
      <c r="B30" s="490" t="s">
        <v>968</v>
      </c>
      <c r="C30" s="580">
        <v>45</v>
      </c>
      <c r="D30" s="580">
        <v>50.5</v>
      </c>
      <c r="E30" s="580">
        <v>56.2</v>
      </c>
      <c r="F30" s="581">
        <v>42.7</v>
      </c>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ht="12.75" customHeight="1">
      <c r="A31" s="396"/>
      <c r="B31" s="490" t="s">
        <v>969</v>
      </c>
      <c r="C31" s="580">
        <v>39.700000000000003</v>
      </c>
      <c r="D31" s="580">
        <v>43.1</v>
      </c>
      <c r="E31" s="580">
        <v>49.7</v>
      </c>
      <c r="F31" s="581">
        <v>41.1</v>
      </c>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490" t="s">
        <v>970</v>
      </c>
      <c r="C32" s="580">
        <v>22</v>
      </c>
      <c r="D32" s="580">
        <v>25.1</v>
      </c>
      <c r="E32" s="580">
        <v>29.5</v>
      </c>
      <c r="F32" s="581">
        <v>24.6</v>
      </c>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490" t="s">
        <v>971</v>
      </c>
      <c r="C33" s="580">
        <v>26.3</v>
      </c>
      <c r="D33" s="580">
        <v>28.9</v>
      </c>
      <c r="E33" s="580">
        <v>34.299999999999997</v>
      </c>
      <c r="F33" s="581">
        <v>32.5</v>
      </c>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490" t="s">
        <v>972</v>
      </c>
      <c r="C34" s="580">
        <v>17.600000000000001</v>
      </c>
      <c r="D34" s="580">
        <v>20.100000000000001</v>
      </c>
      <c r="E34" s="580">
        <v>21.7</v>
      </c>
      <c r="F34" s="581">
        <v>14.3</v>
      </c>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490" t="s">
        <v>973</v>
      </c>
      <c r="C35" s="580">
        <v>14</v>
      </c>
      <c r="D35" s="580">
        <v>15.4</v>
      </c>
      <c r="E35" s="580">
        <v>16.600000000000001</v>
      </c>
      <c r="F35" s="581">
        <v>14.1</v>
      </c>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490" t="s">
        <v>974</v>
      </c>
      <c r="C36" s="580">
        <v>16.3</v>
      </c>
      <c r="D36" s="580">
        <v>17.5</v>
      </c>
      <c r="E36" s="580">
        <v>19.7</v>
      </c>
      <c r="F36" s="581">
        <v>17.600000000000001</v>
      </c>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490" t="s">
        <v>975</v>
      </c>
      <c r="C37" s="580">
        <v>12.8</v>
      </c>
      <c r="D37" s="580">
        <v>14.1</v>
      </c>
      <c r="E37" s="580">
        <v>16.3</v>
      </c>
      <c r="F37" s="581">
        <v>15.8</v>
      </c>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490" t="s">
        <v>976</v>
      </c>
      <c r="C38" s="580">
        <v>19.899999999999999</v>
      </c>
      <c r="D38" s="580">
        <v>21.4</v>
      </c>
      <c r="E38" s="580">
        <v>22.5</v>
      </c>
      <c r="F38" s="581">
        <v>19.100000000000001</v>
      </c>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490" t="s">
        <v>300</v>
      </c>
      <c r="C39" s="580">
        <v>17.100000000000001</v>
      </c>
      <c r="D39" s="580">
        <v>15.3</v>
      </c>
      <c r="E39" s="580">
        <v>16</v>
      </c>
      <c r="F39" s="581">
        <v>14.9</v>
      </c>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490" t="s">
        <v>977</v>
      </c>
      <c r="C40" s="580">
        <v>14.1</v>
      </c>
      <c r="D40" s="580">
        <v>13.2</v>
      </c>
      <c r="E40" s="580">
        <v>16.3</v>
      </c>
      <c r="F40" s="581">
        <v>13.2</v>
      </c>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490" t="s">
        <v>978</v>
      </c>
      <c r="C41" s="580">
        <v>15.1</v>
      </c>
      <c r="D41" s="580">
        <v>10.3</v>
      </c>
      <c r="E41" s="580">
        <v>18.3</v>
      </c>
      <c r="F41" s="581" t="s">
        <v>984</v>
      </c>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490" t="s">
        <v>979</v>
      </c>
      <c r="C42" s="580">
        <v>4.5</v>
      </c>
      <c r="D42" s="580">
        <v>4.5</v>
      </c>
      <c r="E42" s="580">
        <v>6.1</v>
      </c>
      <c r="F42" s="581">
        <v>4.7</v>
      </c>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490" t="s">
        <v>980</v>
      </c>
      <c r="C43" s="580">
        <v>6.6</v>
      </c>
      <c r="D43" s="580">
        <v>7.3</v>
      </c>
      <c r="E43" s="580">
        <v>9.8000000000000007</v>
      </c>
      <c r="F43" s="581">
        <v>8.8000000000000007</v>
      </c>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490" t="s">
        <v>981</v>
      </c>
      <c r="C44" s="580">
        <v>4.9000000000000004</v>
      </c>
      <c r="D44" s="580">
        <v>6.6</v>
      </c>
      <c r="E44" s="580">
        <v>8.4</v>
      </c>
      <c r="F44" s="581">
        <v>4.8</v>
      </c>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490" t="s">
        <v>982</v>
      </c>
      <c r="C45" s="580">
        <v>43.2</v>
      </c>
      <c r="D45" s="580">
        <v>20.2</v>
      </c>
      <c r="E45" s="580">
        <v>32</v>
      </c>
      <c r="F45" s="581">
        <v>20.3</v>
      </c>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ht="13.5" thickBot="1">
      <c r="A46" s="387"/>
      <c r="B46" s="419" t="s">
        <v>983</v>
      </c>
      <c r="C46" s="582" t="s">
        <v>984</v>
      </c>
      <c r="D46" s="582">
        <v>5.3</v>
      </c>
      <c r="E46" s="582">
        <v>4</v>
      </c>
      <c r="F46" s="583">
        <v>5.6</v>
      </c>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ht="25.5" customHeight="1">
      <c r="A47" s="387"/>
      <c r="B47" s="1366" t="s">
        <v>986</v>
      </c>
      <c r="C47" s="1366"/>
      <c r="D47" s="1366"/>
      <c r="E47" s="1366"/>
      <c r="F47" s="1366"/>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420" t="s">
        <v>988</v>
      </c>
      <c r="C48" s="824"/>
      <c r="D48" s="824"/>
      <c r="E48" s="824"/>
      <c r="F48" s="824"/>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420"/>
      <c r="C49" s="824"/>
      <c r="D49" s="824"/>
      <c r="E49" s="824"/>
      <c r="F49" s="824"/>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494" t="s">
        <v>944</v>
      </c>
      <c r="B50" s="420"/>
      <c r="C50" s="420"/>
      <c r="D50" s="420"/>
      <c r="E50" s="420"/>
      <c r="F50" s="802"/>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494"/>
      <c r="B51" s="1108" t="s">
        <v>1383</v>
      </c>
      <c r="C51" s="420"/>
      <c r="D51" s="420"/>
      <c r="E51" s="420"/>
      <c r="F51" s="802"/>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782"/>
      <c r="B52" s="803" t="s">
        <v>833</v>
      </c>
      <c r="C52" s="782"/>
      <c r="D52" s="782"/>
      <c r="E52" s="782"/>
      <c r="F52" s="802"/>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sheetData>
  <mergeCells count="14">
    <mergeCell ref="B11:F11"/>
    <mergeCell ref="A6:F6"/>
    <mergeCell ref="A9:F9"/>
    <mergeCell ref="A16:F16"/>
    <mergeCell ref="B22:F22"/>
    <mergeCell ref="B47:F47"/>
    <mergeCell ref="B25:F25"/>
    <mergeCell ref="C27:F27"/>
    <mergeCell ref="B24:F24"/>
    <mergeCell ref="B12:F12"/>
    <mergeCell ref="B13:F13"/>
    <mergeCell ref="A17:F17"/>
    <mergeCell ref="A18:F18"/>
    <mergeCell ref="B23:F23"/>
  </mergeCells>
  <hyperlinks>
    <hyperlink ref="B52" r:id="rId1" xr:uid="{00000000-0004-0000-1B00-000000000000}"/>
    <hyperlink ref="B51" r:id="rId2" xr:uid="{40B9BDCC-009E-4624-B8FB-F1278E2E09C1}"/>
  </hyperlinks>
  <pageMargins left="0.25" right="0.25" top="0.25" bottom="0.5" header="0.5" footer="0.25"/>
  <pageSetup scale="99" orientation="portrait" r:id="rId3"/>
  <headerFooter alignWithMargins="0">
    <oddFooter>&amp;L&amp;"Arial,Italic"&amp;9EPA Climate Leaders Simplified GHG Emissions Calculator (Direct 1.0)&amp;R&amp;"Arial,Italic"&amp;9&amp;P of &amp;N</oddFooter>
  </headerFooter>
  <colBreaks count="1" manualBreakCount="1">
    <brk id="6" max="1048575" man="1"/>
  </colBreaks>
  <drawing r:id="rId4"/>
  <legacyDrawing r:id="rId5"/>
  <controls>
    <mc:AlternateContent xmlns:mc="http://schemas.openxmlformats.org/markup-compatibility/2006">
      <mc:Choice Requires="x14">
        <control shapeId="38913"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38913" r:id="rId6" name="CommandButton1"/>
      </mc:Fallback>
    </mc:AlternateContent>
    <mc:AlternateContent xmlns:mc="http://schemas.openxmlformats.org/markup-compatibility/2006">
      <mc:Choice Requires="x14">
        <control shapeId="38914" r:id="rId8" name="CommandButton2">
          <controlPr autoLine="0" r:id="rId9">
            <anchor moveWithCells="1" sizeWithCells="1">
              <from>
                <xdr:col>1</xdr:col>
                <xdr:colOff>1181100</xdr:colOff>
                <xdr:row>0</xdr:row>
                <xdr:rowOff>133350</xdr:rowOff>
              </from>
              <to>
                <xdr:col>2</xdr:col>
                <xdr:colOff>228600</xdr:colOff>
                <xdr:row>1</xdr:row>
                <xdr:rowOff>133350</xdr:rowOff>
              </to>
            </anchor>
          </controlPr>
        </control>
      </mc:Choice>
      <mc:Fallback>
        <control shapeId="38914" r:id="rId8" name="CommandButton2"/>
      </mc:Fallback>
    </mc:AlternateContent>
    <mc:AlternateContent xmlns:mc="http://schemas.openxmlformats.org/markup-compatibility/2006">
      <mc:Choice Requires="x14">
        <control shapeId="39469" r:id="rId10" name="CommandButton3">
          <controlPr autoLine="0" autoPict="0" r:id="rId11">
            <anchor moveWithCells="1" sizeWithCells="1">
              <from>
                <xdr:col>1</xdr:col>
                <xdr:colOff>914400</xdr:colOff>
                <xdr:row>18</xdr:row>
                <xdr:rowOff>38100</xdr:rowOff>
              </from>
              <to>
                <xdr:col>2</xdr:col>
                <xdr:colOff>723900</xdr:colOff>
                <xdr:row>20</xdr:row>
                <xdr:rowOff>28575</xdr:rowOff>
              </to>
            </anchor>
          </controlPr>
        </control>
      </mc:Choice>
      <mc:Fallback>
        <control shapeId="39469" r:id="rId10" name="CommandButton3"/>
      </mc:Fallback>
    </mc:AlternateContent>
    <mc:AlternateContent xmlns:mc="http://schemas.openxmlformats.org/markup-compatibility/2006">
      <mc:Choice Requires="x14">
        <control shapeId="39507" r:id="rId12" name="CommandButton4">
          <controlPr autoLine="0" r:id="rId13">
            <anchor moveWithCells="1" sizeWithCells="1">
              <from>
                <xdr:col>2</xdr:col>
                <xdr:colOff>438150</xdr:colOff>
                <xdr:row>0</xdr:row>
                <xdr:rowOff>142875</xdr:rowOff>
              </from>
              <to>
                <xdr:col>4</xdr:col>
                <xdr:colOff>438150</xdr:colOff>
                <xdr:row>1</xdr:row>
                <xdr:rowOff>142875</xdr:rowOff>
              </to>
            </anchor>
          </controlPr>
        </control>
      </mc:Choice>
      <mc:Fallback>
        <control shapeId="39507" r:id="rId12" name="CommandButton4"/>
      </mc:Fallback>
    </mc:AlternateContent>
  </control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3"/>
  <dimension ref="A1:AH213"/>
  <sheetViews>
    <sheetView zoomScaleNormal="100" workbookViewId="0">
      <pane ySplit="4" topLeftCell="A26" activePane="bottomLeft" state="frozen"/>
      <selection activeCell="A5" sqref="A5"/>
      <selection pane="bottomLeft"/>
    </sheetView>
  </sheetViews>
  <sheetFormatPr defaultColWidth="9.140625" defaultRowHeight="12.75"/>
  <cols>
    <col min="1" max="1" width="9.7109375" style="386" customWidth="1"/>
    <col min="2" max="2" width="17.85546875" style="386" customWidth="1"/>
    <col min="3" max="3" width="14.140625" style="386" customWidth="1"/>
    <col min="4" max="4" width="26" style="386" customWidth="1"/>
    <col min="5" max="5" width="14.140625" style="386" customWidth="1"/>
    <col min="6" max="8" width="14.28515625" style="386" customWidth="1"/>
    <col min="9" max="9" width="15.7109375" style="386" customWidth="1"/>
    <col min="10" max="10" width="9" style="386" customWidth="1"/>
    <col min="11" max="11" width="6.28515625" style="386" customWidth="1"/>
    <col min="12" max="16384" width="9.140625" style="386"/>
  </cols>
  <sheetData>
    <row r="1" spans="1:34"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c r="AE1" s="387"/>
      <c r="AF1" s="387"/>
      <c r="AG1" s="387"/>
      <c r="AH1" s="387"/>
    </row>
    <row r="2" spans="1:34"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c r="AE2" s="387"/>
      <c r="AF2" s="387"/>
      <c r="AG2" s="387"/>
      <c r="AH2" s="387"/>
    </row>
    <row r="3" spans="1:34" ht="30.75" customHeight="1">
      <c r="A3" s="1372" t="s">
        <v>1045</v>
      </c>
      <c r="B3" s="1372"/>
      <c r="C3" s="1372"/>
      <c r="D3" s="1372"/>
      <c r="E3" s="1372"/>
      <c r="F3" s="1372"/>
      <c r="G3" s="1372"/>
      <c r="H3" s="1372"/>
      <c r="I3" s="493"/>
      <c r="J3" s="387"/>
      <c r="K3" s="387"/>
      <c r="L3" s="387"/>
      <c r="M3" s="387"/>
      <c r="N3" s="387"/>
      <c r="O3" s="387"/>
      <c r="P3" s="387"/>
      <c r="Q3" s="387"/>
      <c r="R3" s="387"/>
      <c r="S3" s="387"/>
      <c r="T3" s="387"/>
      <c r="U3" s="387"/>
      <c r="V3" s="387"/>
      <c r="W3" s="387"/>
      <c r="X3" s="387"/>
      <c r="Y3" s="387"/>
      <c r="Z3" s="387"/>
      <c r="AA3" s="387"/>
      <c r="AB3" s="387"/>
      <c r="AC3" s="387"/>
      <c r="AD3" s="387"/>
      <c r="AE3" s="387"/>
      <c r="AF3" s="387"/>
      <c r="AG3" s="387"/>
      <c r="AH3" s="387"/>
    </row>
    <row r="4" spans="1:34">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c r="AE4" s="387"/>
      <c r="AF4" s="387"/>
      <c r="AG4" s="387"/>
      <c r="AH4" s="387"/>
    </row>
    <row r="5" spans="1:34">
      <c r="A5" s="435" t="s">
        <v>1046</v>
      </c>
      <c r="B5" s="453"/>
      <c r="C5" s="778"/>
      <c r="D5" s="778"/>
      <c r="E5" s="778"/>
      <c r="F5" s="778"/>
      <c r="G5" s="453"/>
      <c r="H5" s="453"/>
      <c r="I5" s="453"/>
      <c r="J5" s="387"/>
      <c r="K5" s="387"/>
      <c r="L5" s="387"/>
      <c r="M5" s="387"/>
      <c r="N5" s="387"/>
      <c r="O5" s="387"/>
      <c r="P5" s="387"/>
      <c r="Q5" s="387"/>
      <c r="R5" s="387"/>
      <c r="S5" s="387"/>
      <c r="T5" s="387"/>
      <c r="U5" s="387"/>
      <c r="V5" s="387"/>
      <c r="W5" s="387"/>
      <c r="X5" s="387"/>
      <c r="Y5" s="387"/>
      <c r="Z5" s="387"/>
      <c r="AA5" s="387"/>
      <c r="AB5" s="387"/>
      <c r="AC5" s="387"/>
      <c r="AD5" s="387"/>
      <c r="AE5" s="387"/>
      <c r="AF5" s="387"/>
      <c r="AG5" s="387"/>
      <c r="AH5" s="387"/>
    </row>
    <row r="6" spans="1:34" ht="51" customHeight="1">
      <c r="A6" s="1361" t="s">
        <v>1096</v>
      </c>
      <c r="B6" s="1361"/>
      <c r="C6" s="1361"/>
      <c r="D6" s="1361"/>
      <c r="E6" s="1361"/>
      <c r="F6" s="1361"/>
      <c r="G6" s="1361"/>
      <c r="H6" s="1361"/>
      <c r="I6" s="1361"/>
      <c r="J6" s="387"/>
      <c r="K6" s="387"/>
      <c r="L6" s="387"/>
      <c r="M6" s="387"/>
      <c r="N6" s="387"/>
      <c r="O6" s="387"/>
      <c r="P6" s="387"/>
      <c r="Q6" s="387"/>
      <c r="R6" s="387"/>
      <c r="S6" s="387"/>
      <c r="T6" s="387"/>
      <c r="U6" s="387"/>
      <c r="V6" s="387"/>
      <c r="W6" s="387"/>
      <c r="X6" s="387"/>
      <c r="Y6" s="387"/>
      <c r="Z6" s="387"/>
      <c r="AA6" s="387"/>
      <c r="AB6" s="387"/>
      <c r="AC6" s="387"/>
      <c r="AD6" s="387"/>
      <c r="AE6" s="387"/>
      <c r="AF6" s="387"/>
      <c r="AG6" s="387"/>
      <c r="AH6" s="387"/>
    </row>
    <row r="7" spans="1:34" ht="64.5" customHeight="1">
      <c r="A7" s="835" t="s">
        <v>1047</v>
      </c>
      <c r="B7" s="1374" t="s">
        <v>1053</v>
      </c>
      <c r="C7" s="1374"/>
      <c r="D7" s="1375" t="s">
        <v>1087</v>
      </c>
      <c r="E7" s="1375"/>
      <c r="F7" s="1375"/>
      <c r="G7" s="1375"/>
      <c r="H7" s="1375"/>
      <c r="I7" s="1375"/>
      <c r="J7" s="387"/>
      <c r="K7" s="387"/>
      <c r="L7" s="387"/>
      <c r="M7" s="387"/>
      <c r="N7" s="387"/>
      <c r="O7" s="387"/>
      <c r="P7" s="387"/>
      <c r="Q7" s="387"/>
      <c r="R7" s="387"/>
      <c r="S7" s="387"/>
      <c r="T7" s="387"/>
      <c r="U7" s="387"/>
      <c r="V7" s="387"/>
      <c r="W7" s="387"/>
      <c r="X7" s="387"/>
      <c r="Y7" s="387"/>
      <c r="Z7" s="387"/>
      <c r="AA7" s="387"/>
      <c r="AB7" s="387"/>
      <c r="AC7" s="387"/>
      <c r="AD7" s="387"/>
      <c r="AE7" s="387"/>
      <c r="AF7" s="387"/>
      <c r="AG7" s="387"/>
      <c r="AH7" s="387"/>
    </row>
    <row r="8" spans="1:34" ht="69.75" customHeight="1">
      <c r="A8" s="835" t="s">
        <v>1048</v>
      </c>
      <c r="B8" s="1374" t="s">
        <v>1054</v>
      </c>
      <c r="C8" s="1374"/>
      <c r="D8" s="1375" t="s">
        <v>1060</v>
      </c>
      <c r="E8" s="1375"/>
      <c r="F8" s="1375"/>
      <c r="G8" s="1375"/>
      <c r="H8" s="1375"/>
      <c r="I8" s="1375"/>
      <c r="J8" s="387"/>
      <c r="K8" s="387"/>
      <c r="L8" s="387"/>
      <c r="M8" s="387"/>
      <c r="N8" s="387"/>
      <c r="O8" s="387"/>
      <c r="P8" s="387"/>
      <c r="Q8" s="387"/>
      <c r="R8" s="387"/>
      <c r="S8" s="387"/>
      <c r="T8" s="387"/>
      <c r="U8" s="387"/>
      <c r="V8" s="387"/>
      <c r="W8" s="387"/>
      <c r="X8" s="387"/>
      <c r="Y8" s="387"/>
      <c r="Z8" s="387"/>
      <c r="AA8" s="387"/>
      <c r="AB8" s="387"/>
      <c r="AC8" s="387"/>
      <c r="AD8" s="387"/>
      <c r="AE8" s="387"/>
      <c r="AF8" s="387"/>
      <c r="AG8" s="387"/>
      <c r="AH8" s="387"/>
    </row>
    <row r="9" spans="1:34" ht="54" customHeight="1">
      <c r="A9" s="835" t="s">
        <v>1049</v>
      </c>
      <c r="B9" s="1374" t="s">
        <v>1055</v>
      </c>
      <c r="C9" s="1374"/>
      <c r="D9" s="1375" t="s">
        <v>1061</v>
      </c>
      <c r="E9" s="1375"/>
      <c r="F9" s="1375"/>
      <c r="G9" s="1375"/>
      <c r="H9" s="1375"/>
      <c r="I9" s="1375"/>
      <c r="J9" s="387"/>
      <c r="K9" s="387"/>
      <c r="L9" s="387"/>
      <c r="M9" s="387"/>
      <c r="N9" s="387"/>
      <c r="O9" s="387"/>
      <c r="P9" s="387"/>
      <c r="Q9" s="387"/>
      <c r="R9" s="387"/>
      <c r="S9" s="387"/>
      <c r="T9" s="387"/>
      <c r="U9" s="387"/>
      <c r="V9" s="387"/>
      <c r="W9" s="387"/>
      <c r="X9" s="387"/>
      <c r="Y9" s="387"/>
      <c r="Z9" s="387"/>
      <c r="AA9" s="387"/>
      <c r="AB9" s="387"/>
      <c r="AC9" s="387"/>
      <c r="AD9" s="387"/>
      <c r="AE9" s="387"/>
      <c r="AF9" s="387"/>
      <c r="AG9" s="387"/>
      <c r="AH9" s="387"/>
    </row>
    <row r="10" spans="1:34" ht="62.25" customHeight="1">
      <c r="A10" s="835" t="s">
        <v>1050</v>
      </c>
      <c r="B10" s="1374" t="s">
        <v>1056</v>
      </c>
      <c r="C10" s="1374"/>
      <c r="D10" s="1375" t="s">
        <v>1062</v>
      </c>
      <c r="E10" s="1375"/>
      <c r="F10" s="1375"/>
      <c r="G10" s="1375"/>
      <c r="H10" s="1375"/>
      <c r="I10" s="1375"/>
      <c r="J10" s="387"/>
      <c r="K10" s="387"/>
      <c r="L10" s="387"/>
      <c r="M10" s="387"/>
      <c r="N10" s="387"/>
      <c r="O10" s="387"/>
      <c r="P10" s="387"/>
      <c r="Q10" s="387"/>
      <c r="R10" s="387"/>
      <c r="S10" s="387"/>
      <c r="T10" s="387"/>
      <c r="U10" s="387"/>
      <c r="V10" s="387"/>
      <c r="W10" s="387"/>
      <c r="X10" s="387"/>
      <c r="Y10" s="387"/>
      <c r="Z10" s="387"/>
      <c r="AA10" s="387"/>
      <c r="AB10" s="387"/>
      <c r="AC10" s="387"/>
      <c r="AD10" s="387"/>
      <c r="AE10" s="387"/>
      <c r="AF10" s="387"/>
      <c r="AG10" s="387"/>
      <c r="AH10" s="387"/>
    </row>
    <row r="11" spans="1:34" ht="27" customHeight="1">
      <c r="A11" s="835" t="s">
        <v>1051</v>
      </c>
      <c r="B11" s="1374" t="s">
        <v>1057</v>
      </c>
      <c r="C11" s="1374"/>
      <c r="D11" s="1375" t="s">
        <v>1092</v>
      </c>
      <c r="E11" s="1375"/>
      <c r="F11" s="1375"/>
      <c r="G11" s="1375"/>
      <c r="H11" s="1375"/>
      <c r="I11" s="1375"/>
      <c r="J11" s="387"/>
      <c r="K11" s="387"/>
      <c r="L11" s="387"/>
      <c r="M11" s="387"/>
      <c r="N11" s="387"/>
      <c r="O11" s="387"/>
      <c r="P11" s="387"/>
      <c r="Q11" s="387"/>
      <c r="R11" s="387"/>
      <c r="S11" s="387"/>
      <c r="T11" s="387"/>
      <c r="U11" s="387"/>
      <c r="V11" s="387"/>
      <c r="W11" s="387"/>
      <c r="X11" s="387"/>
      <c r="Y11" s="387"/>
      <c r="Z11" s="387"/>
      <c r="AA11" s="387"/>
      <c r="AB11" s="387"/>
      <c r="AC11" s="387"/>
      <c r="AD11" s="387"/>
      <c r="AE11" s="387"/>
      <c r="AF11" s="387"/>
      <c r="AG11" s="387"/>
      <c r="AH11" s="387"/>
    </row>
    <row r="12" spans="1:34" ht="32.25" customHeight="1">
      <c r="A12" s="835" t="s">
        <v>1052</v>
      </c>
      <c r="B12" s="1374" t="s">
        <v>1058</v>
      </c>
      <c r="C12" s="1374"/>
      <c r="D12" s="1375" t="s">
        <v>1059</v>
      </c>
      <c r="E12" s="1375"/>
      <c r="F12" s="1375"/>
      <c r="G12" s="1375"/>
      <c r="H12" s="1375"/>
      <c r="I12" s="1375"/>
      <c r="J12" s="387"/>
      <c r="K12" s="387"/>
      <c r="L12" s="387"/>
      <c r="M12" s="387"/>
      <c r="N12" s="387"/>
      <c r="O12" s="387"/>
      <c r="P12" s="387"/>
      <c r="Q12" s="387"/>
      <c r="R12" s="387"/>
      <c r="S12" s="387"/>
      <c r="T12" s="387"/>
      <c r="U12" s="387"/>
      <c r="V12" s="387"/>
      <c r="W12" s="387"/>
      <c r="X12" s="387"/>
      <c r="Y12" s="387"/>
      <c r="Z12" s="387"/>
      <c r="AA12" s="387"/>
      <c r="AB12" s="387"/>
      <c r="AC12" s="387"/>
      <c r="AD12" s="387"/>
      <c r="AE12" s="387"/>
      <c r="AF12" s="387"/>
      <c r="AG12" s="387"/>
      <c r="AH12" s="387"/>
    </row>
    <row r="13" spans="1:34">
      <c r="A13" s="435"/>
      <c r="B13" s="778"/>
      <c r="C13" s="778"/>
      <c r="D13" s="778"/>
      <c r="E13" s="778"/>
      <c r="F13" s="778"/>
      <c r="G13" s="778"/>
      <c r="H13" s="778"/>
      <c r="I13" s="778"/>
      <c r="J13" s="387"/>
      <c r="K13" s="387"/>
      <c r="L13" s="387"/>
      <c r="M13" s="387"/>
      <c r="N13" s="387"/>
      <c r="O13" s="387"/>
      <c r="P13" s="387"/>
      <c r="Q13" s="387"/>
      <c r="R13" s="387"/>
      <c r="S13" s="387"/>
      <c r="T13" s="387"/>
      <c r="U13" s="387"/>
      <c r="V13" s="387"/>
      <c r="W13" s="387"/>
      <c r="X13" s="387"/>
      <c r="Y13" s="387"/>
      <c r="Z13" s="387"/>
      <c r="AA13" s="387"/>
      <c r="AB13" s="387"/>
      <c r="AC13" s="387"/>
      <c r="AD13" s="387"/>
      <c r="AE13" s="387"/>
      <c r="AF13" s="387"/>
      <c r="AG13" s="387"/>
      <c r="AH13" s="387"/>
    </row>
    <row r="14" spans="1:34">
      <c r="A14" s="435" t="s">
        <v>945</v>
      </c>
      <c r="B14" s="387"/>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87"/>
    </row>
    <row r="15" spans="1:34" s="861" customFormat="1">
      <c r="A15" s="395" t="s">
        <v>946</v>
      </c>
      <c r="B15" s="395"/>
      <c r="C15" s="395"/>
      <c r="D15" s="395"/>
      <c r="E15" s="395"/>
      <c r="F15" s="395"/>
      <c r="G15" s="395"/>
      <c r="H15" s="395"/>
      <c r="I15" s="395"/>
      <c r="J15" s="395"/>
      <c r="K15" s="395"/>
      <c r="L15" s="395"/>
      <c r="M15" s="395"/>
      <c r="N15" s="395"/>
      <c r="O15" s="395"/>
      <c r="P15" s="395"/>
      <c r="Q15" s="395"/>
      <c r="R15" s="395"/>
      <c r="S15" s="395"/>
      <c r="T15" s="395"/>
      <c r="U15" s="395"/>
      <c r="V15" s="395"/>
      <c r="W15" s="395"/>
      <c r="X15" s="395"/>
      <c r="Y15" s="395"/>
      <c r="Z15" s="395"/>
      <c r="AA15" s="395"/>
      <c r="AB15" s="395"/>
      <c r="AC15" s="395"/>
      <c r="AD15" s="395"/>
      <c r="AE15" s="395"/>
      <c r="AF15" s="395"/>
      <c r="AG15" s="395"/>
      <c r="AH15" s="395"/>
    </row>
    <row r="16" spans="1:34" ht="12.75" customHeight="1">
      <c r="A16" s="1196" t="s">
        <v>947</v>
      </c>
      <c r="B16" s="1196"/>
      <c r="C16" s="1196"/>
      <c r="D16" s="1196"/>
      <c r="E16" s="1196"/>
      <c r="F16" s="1196"/>
      <c r="G16" s="1196"/>
      <c r="H16" s="1196"/>
      <c r="I16" s="1196"/>
      <c r="J16" s="1376"/>
      <c r="K16" s="1376"/>
      <c r="L16" s="387"/>
      <c r="M16" s="387"/>
      <c r="N16" s="387"/>
      <c r="O16" s="387"/>
      <c r="P16" s="387"/>
      <c r="Q16" s="387"/>
      <c r="R16" s="387"/>
      <c r="S16" s="387"/>
      <c r="T16" s="387"/>
      <c r="U16" s="387"/>
      <c r="V16" s="387"/>
      <c r="W16" s="387"/>
      <c r="X16" s="387"/>
      <c r="Y16" s="387"/>
      <c r="Z16" s="387"/>
      <c r="AA16" s="387"/>
      <c r="AB16" s="387"/>
      <c r="AC16" s="387"/>
      <c r="AD16" s="387"/>
      <c r="AE16" s="387"/>
      <c r="AF16" s="387"/>
      <c r="AG16" s="387"/>
      <c r="AH16" s="387"/>
    </row>
    <row r="17" spans="1:34" ht="26.25" customHeight="1">
      <c r="A17" s="1196" t="s">
        <v>1094</v>
      </c>
      <c r="B17" s="1196"/>
      <c r="C17" s="1196"/>
      <c r="D17" s="1196"/>
      <c r="E17" s="1196"/>
      <c r="F17" s="1196"/>
      <c r="G17" s="1196"/>
      <c r="H17" s="1196"/>
      <c r="I17" s="1196"/>
      <c r="J17" s="1376"/>
      <c r="K17" s="1376"/>
      <c r="L17" s="387"/>
      <c r="M17" s="387"/>
      <c r="N17" s="387"/>
      <c r="O17" s="387"/>
      <c r="P17" s="387"/>
      <c r="Q17" s="387"/>
      <c r="R17" s="387"/>
      <c r="S17" s="387"/>
      <c r="T17" s="387"/>
      <c r="U17" s="387"/>
      <c r="V17" s="387"/>
      <c r="W17" s="387"/>
      <c r="X17" s="387"/>
      <c r="Y17" s="387"/>
      <c r="Z17" s="387"/>
      <c r="AA17" s="387"/>
      <c r="AB17" s="387"/>
      <c r="AC17" s="387"/>
      <c r="AD17" s="387"/>
      <c r="AE17" s="387"/>
      <c r="AF17" s="387"/>
      <c r="AG17" s="387"/>
      <c r="AH17" s="387"/>
    </row>
    <row r="18" spans="1:34" ht="26.25" customHeight="1">
      <c r="A18" s="1196" t="s">
        <v>1093</v>
      </c>
      <c r="B18" s="1196"/>
      <c r="C18" s="1196"/>
      <c r="D18" s="1196"/>
      <c r="E18" s="1196"/>
      <c r="F18" s="1196"/>
      <c r="G18" s="1196"/>
      <c r="H18" s="1196"/>
      <c r="I18" s="1196"/>
      <c r="J18" s="1376"/>
      <c r="K18" s="1376"/>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row>
    <row r="19" spans="1:34" ht="26.25" customHeight="1">
      <c r="A19" s="1196" t="s">
        <v>948</v>
      </c>
      <c r="B19" s="1196"/>
      <c r="C19" s="1196"/>
      <c r="D19" s="1196"/>
      <c r="E19" s="1196"/>
      <c r="F19" s="1196"/>
      <c r="G19" s="1196"/>
      <c r="H19" s="1196"/>
      <c r="I19" s="1196"/>
      <c r="J19" s="387"/>
      <c r="K19" s="387"/>
      <c r="L19" s="387"/>
      <c r="M19" s="387"/>
      <c r="N19" s="387"/>
      <c r="O19" s="387"/>
      <c r="P19" s="387"/>
      <c r="Q19" s="387"/>
      <c r="R19" s="387"/>
      <c r="S19" s="387"/>
      <c r="T19" s="387"/>
      <c r="U19" s="387"/>
      <c r="V19" s="387"/>
      <c r="W19" s="387"/>
      <c r="X19" s="387"/>
      <c r="Y19" s="387"/>
      <c r="Z19" s="387"/>
      <c r="AA19" s="387"/>
      <c r="AB19" s="387"/>
      <c r="AC19" s="387"/>
      <c r="AD19" s="387"/>
      <c r="AE19" s="387"/>
      <c r="AF19" s="387"/>
      <c r="AG19" s="387"/>
      <c r="AH19" s="387"/>
    </row>
    <row r="20" spans="1:34" ht="50.25" customHeight="1">
      <c r="A20" s="1196" t="s">
        <v>1095</v>
      </c>
      <c r="B20" s="1196"/>
      <c r="C20" s="1196"/>
      <c r="D20" s="1196"/>
      <c r="E20" s="1196"/>
      <c r="F20" s="1196"/>
      <c r="G20" s="1196"/>
      <c r="H20" s="1196"/>
      <c r="I20" s="1196"/>
      <c r="J20" s="387"/>
      <c r="K20" s="387"/>
      <c r="L20" s="387"/>
      <c r="M20" s="387"/>
      <c r="N20" s="387"/>
      <c r="O20" s="387"/>
      <c r="P20" s="387"/>
      <c r="Q20" s="387"/>
      <c r="R20" s="387"/>
      <c r="S20" s="387"/>
      <c r="T20" s="387"/>
      <c r="U20" s="387"/>
      <c r="V20" s="387"/>
      <c r="W20" s="387"/>
      <c r="X20" s="387"/>
      <c r="Y20" s="387"/>
      <c r="Z20" s="387"/>
      <c r="AA20" s="387"/>
      <c r="AB20" s="387"/>
      <c r="AC20" s="387"/>
      <c r="AD20" s="387"/>
      <c r="AE20" s="387"/>
      <c r="AF20" s="387"/>
      <c r="AG20" s="387"/>
      <c r="AH20" s="387"/>
    </row>
    <row r="21" spans="1:34" s="861" customFormat="1">
      <c r="A21" s="395" t="s">
        <v>1086</v>
      </c>
      <c r="B21" s="395"/>
      <c r="C21" s="395"/>
      <c r="D21" s="395"/>
      <c r="E21" s="395"/>
      <c r="F21" s="395"/>
      <c r="G21" s="395"/>
      <c r="H21" s="395"/>
      <c r="I21" s="395"/>
      <c r="J21" s="395"/>
      <c r="K21" s="395"/>
      <c r="L21" s="395"/>
      <c r="M21" s="395"/>
      <c r="N21" s="395"/>
      <c r="O21" s="395"/>
      <c r="P21" s="395"/>
      <c r="Q21" s="395"/>
      <c r="R21" s="395"/>
      <c r="S21" s="395"/>
      <c r="T21" s="395"/>
      <c r="U21" s="395"/>
      <c r="V21" s="395"/>
      <c r="W21" s="395"/>
      <c r="X21" s="395"/>
      <c r="Y21" s="395"/>
      <c r="Z21" s="395"/>
      <c r="AA21" s="395"/>
      <c r="AB21" s="395"/>
      <c r="AC21" s="395"/>
      <c r="AD21" s="395"/>
      <c r="AE21" s="395"/>
      <c r="AF21" s="395"/>
      <c r="AG21" s="395"/>
      <c r="AH21" s="395"/>
    </row>
    <row r="22" spans="1:34">
      <c r="A22" s="435"/>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c r="AE22" s="387"/>
      <c r="AF22" s="387"/>
      <c r="AG22" s="387"/>
      <c r="AH22" s="387"/>
    </row>
    <row r="23" spans="1:34">
      <c r="A23" s="438" t="s">
        <v>497</v>
      </c>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c r="AE23" s="387"/>
      <c r="AF23" s="387"/>
      <c r="AG23" s="387"/>
      <c r="AH23" s="387"/>
    </row>
    <row r="24" spans="1:34" ht="54" customHeight="1">
      <c r="A24" s="396" t="s">
        <v>494</v>
      </c>
      <c r="B24" s="1365" t="s">
        <v>1085</v>
      </c>
      <c r="C24" s="1365"/>
      <c r="D24" s="1365"/>
      <c r="E24" s="1365"/>
      <c r="F24" s="1365"/>
      <c r="G24" s="1365"/>
      <c r="H24" s="1365"/>
      <c r="I24" s="1365"/>
      <c r="J24" s="387"/>
      <c r="K24" s="387"/>
      <c r="L24" s="387"/>
      <c r="M24" s="387"/>
      <c r="N24" s="387"/>
      <c r="O24" s="387"/>
      <c r="P24" s="387"/>
      <c r="Q24" s="387"/>
      <c r="R24" s="387"/>
      <c r="S24" s="387"/>
      <c r="T24" s="387"/>
      <c r="U24" s="387"/>
      <c r="V24" s="387"/>
      <c r="W24" s="387"/>
      <c r="X24" s="387"/>
      <c r="Y24" s="387"/>
      <c r="Z24" s="387"/>
      <c r="AA24" s="387"/>
      <c r="AB24" s="387"/>
      <c r="AC24" s="387"/>
      <c r="AD24" s="387"/>
      <c r="AE24" s="387"/>
      <c r="AF24" s="387"/>
      <c r="AG24" s="387"/>
      <c r="AH24" s="387"/>
    </row>
    <row r="25" spans="1:34">
      <c r="A25" s="435"/>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c r="AH25" s="387"/>
    </row>
    <row r="26" spans="1:34">
      <c r="A26" s="438" t="s">
        <v>1038</v>
      </c>
      <c r="B26" s="781"/>
      <c r="C26" s="781"/>
      <c r="D26" s="781"/>
      <c r="E26" s="781"/>
      <c r="F26" s="781"/>
      <c r="G26" s="833"/>
      <c r="H26" s="833"/>
      <c r="I26" s="833"/>
      <c r="J26" s="387"/>
      <c r="K26" s="387"/>
      <c r="L26" s="387"/>
      <c r="M26" s="387"/>
      <c r="N26" s="387"/>
      <c r="O26" s="387"/>
      <c r="P26" s="387"/>
      <c r="Q26" s="387"/>
      <c r="R26" s="387"/>
      <c r="S26" s="387"/>
      <c r="T26" s="387"/>
      <c r="U26" s="387"/>
      <c r="V26" s="387"/>
      <c r="W26" s="387"/>
      <c r="X26" s="387"/>
      <c r="Y26" s="387"/>
      <c r="Z26" s="387"/>
      <c r="AA26" s="387"/>
      <c r="AB26" s="387"/>
      <c r="AC26" s="387"/>
      <c r="AD26" s="387"/>
      <c r="AE26" s="387"/>
      <c r="AF26" s="387"/>
      <c r="AG26" s="387"/>
      <c r="AH26" s="387"/>
    </row>
    <row r="27" spans="1:34" ht="26.25" customHeight="1">
      <c r="A27" s="1365" t="s">
        <v>1097</v>
      </c>
      <c r="B27" s="1365"/>
      <c r="C27" s="1365"/>
      <c r="D27" s="1365"/>
      <c r="E27" s="1365"/>
      <c r="F27" s="1365"/>
      <c r="G27" s="1365"/>
      <c r="H27" s="1365"/>
      <c r="I27" s="1365"/>
      <c r="J27" s="387"/>
      <c r="K27" s="387"/>
      <c r="L27" s="387"/>
      <c r="M27" s="387"/>
      <c r="N27" s="387"/>
      <c r="O27" s="387"/>
      <c r="P27" s="387"/>
      <c r="Q27" s="387"/>
      <c r="R27" s="387"/>
      <c r="S27" s="387"/>
      <c r="T27" s="387"/>
      <c r="U27" s="387"/>
      <c r="V27" s="387"/>
      <c r="W27" s="387"/>
      <c r="X27" s="387"/>
      <c r="Y27" s="387"/>
      <c r="Z27" s="387"/>
      <c r="AA27" s="387"/>
      <c r="AB27" s="387"/>
      <c r="AC27" s="387"/>
      <c r="AD27" s="387"/>
      <c r="AE27" s="387"/>
      <c r="AF27" s="387"/>
      <c r="AG27" s="387"/>
      <c r="AH27" s="387"/>
    </row>
    <row r="28" spans="1:34">
      <c r="A28" s="779"/>
      <c r="B28" s="834" t="s">
        <v>1039</v>
      </c>
      <c r="C28" s="834"/>
      <c r="D28" s="834"/>
      <c r="E28" s="834"/>
      <c r="F28" s="834"/>
      <c r="G28" s="779"/>
      <c r="H28" s="779"/>
      <c r="I28" s="779"/>
      <c r="J28" s="387"/>
      <c r="K28" s="387"/>
      <c r="L28" s="387"/>
      <c r="M28" s="387"/>
      <c r="N28" s="387"/>
      <c r="O28" s="387"/>
      <c r="P28" s="387"/>
      <c r="Q28" s="387"/>
      <c r="R28" s="387"/>
      <c r="S28" s="387"/>
      <c r="T28" s="387"/>
      <c r="U28" s="387"/>
      <c r="V28" s="387"/>
      <c r="W28" s="387"/>
      <c r="X28" s="387"/>
      <c r="Y28" s="387"/>
      <c r="Z28" s="387"/>
      <c r="AA28" s="387"/>
      <c r="AB28" s="387"/>
      <c r="AC28" s="387"/>
      <c r="AD28" s="387"/>
      <c r="AE28" s="387"/>
      <c r="AF28" s="387"/>
      <c r="AG28" s="387"/>
      <c r="AH28" s="387"/>
    </row>
    <row r="29" spans="1:34">
      <c r="A29" s="779"/>
      <c r="B29" s="834" t="s">
        <v>1041</v>
      </c>
      <c r="C29" s="834"/>
      <c r="D29" s="834"/>
      <c r="E29" s="834"/>
      <c r="F29" s="834"/>
      <c r="G29" s="779"/>
      <c r="H29" s="779"/>
      <c r="I29" s="779"/>
      <c r="J29" s="387"/>
      <c r="K29" s="387"/>
      <c r="L29" s="387"/>
      <c r="M29" s="387"/>
      <c r="N29" s="387"/>
      <c r="O29" s="387"/>
      <c r="P29" s="387"/>
      <c r="Q29" s="387"/>
      <c r="R29" s="387"/>
      <c r="S29" s="387"/>
      <c r="T29" s="387"/>
      <c r="U29" s="387"/>
      <c r="V29" s="387"/>
      <c r="W29" s="387"/>
      <c r="X29" s="387"/>
      <c r="Y29" s="387"/>
      <c r="Z29" s="387"/>
      <c r="AA29" s="387"/>
      <c r="AB29" s="387"/>
      <c r="AC29" s="387"/>
      <c r="AD29" s="387"/>
      <c r="AE29" s="387"/>
      <c r="AF29" s="387"/>
      <c r="AG29" s="387"/>
      <c r="AH29" s="387"/>
    </row>
    <row r="30" spans="1:34">
      <c r="A30" s="779"/>
      <c r="B30" s="834" t="s">
        <v>1040</v>
      </c>
      <c r="C30" s="834"/>
      <c r="D30" s="834"/>
      <c r="E30" s="834"/>
      <c r="F30" s="834"/>
      <c r="G30" s="779"/>
      <c r="H30" s="779"/>
      <c r="I30" s="782"/>
      <c r="J30" s="387"/>
      <c r="K30" s="387"/>
      <c r="L30" s="387"/>
      <c r="M30" s="387"/>
      <c r="N30" s="387"/>
      <c r="O30" s="387"/>
      <c r="P30" s="387"/>
      <c r="Q30" s="387"/>
      <c r="R30" s="387"/>
      <c r="S30" s="387"/>
      <c r="T30" s="387"/>
      <c r="U30" s="387"/>
      <c r="V30" s="387"/>
      <c r="W30" s="387"/>
      <c r="X30" s="387"/>
      <c r="Y30" s="387"/>
      <c r="Z30" s="387"/>
      <c r="AA30" s="387"/>
      <c r="AB30" s="387"/>
      <c r="AC30" s="387"/>
      <c r="AD30" s="387"/>
      <c r="AE30" s="387"/>
      <c r="AF30" s="387"/>
      <c r="AG30" s="387"/>
      <c r="AH30" s="387"/>
    </row>
    <row r="31" spans="1:34">
      <c r="A31" s="852"/>
      <c r="B31" s="834" t="s">
        <v>1103</v>
      </c>
      <c r="C31" s="834"/>
      <c r="D31" s="834"/>
      <c r="E31" s="834"/>
      <c r="F31" s="834"/>
      <c r="G31" s="852"/>
      <c r="H31" s="852"/>
      <c r="I31" s="853"/>
      <c r="J31" s="387"/>
      <c r="K31" s="387"/>
      <c r="L31" s="387"/>
      <c r="M31" s="387"/>
      <c r="N31" s="387"/>
      <c r="O31" s="387"/>
      <c r="P31" s="387"/>
      <c r="Q31" s="387"/>
      <c r="R31" s="387"/>
      <c r="S31" s="387"/>
      <c r="T31" s="387"/>
      <c r="U31" s="387"/>
      <c r="V31" s="387"/>
      <c r="W31" s="387"/>
      <c r="X31" s="387"/>
      <c r="Y31" s="387"/>
      <c r="Z31" s="387"/>
      <c r="AA31" s="387"/>
      <c r="AB31" s="387"/>
      <c r="AC31" s="387"/>
      <c r="AD31" s="387"/>
      <c r="AE31" s="387"/>
      <c r="AF31" s="387"/>
      <c r="AG31" s="387"/>
      <c r="AH31" s="387"/>
    </row>
    <row r="32" spans="1:34">
      <c r="A32" s="779"/>
      <c r="B32" s="834"/>
      <c r="C32" s="834"/>
      <c r="D32" s="834"/>
      <c r="E32" s="834"/>
      <c r="F32" s="834"/>
      <c r="G32" s="779"/>
      <c r="H32" s="779"/>
      <c r="I32" s="782"/>
      <c r="J32" s="387"/>
      <c r="K32" s="387"/>
      <c r="L32" s="387"/>
      <c r="M32" s="387"/>
      <c r="N32" s="387"/>
      <c r="O32" s="387"/>
      <c r="P32" s="387"/>
      <c r="Q32" s="387"/>
      <c r="R32" s="387"/>
      <c r="S32" s="387"/>
      <c r="T32" s="387"/>
      <c r="U32" s="387"/>
      <c r="V32" s="387"/>
      <c r="W32" s="387"/>
      <c r="X32" s="387"/>
      <c r="Y32" s="387"/>
      <c r="Z32" s="387"/>
      <c r="AA32" s="387"/>
      <c r="AB32" s="387"/>
      <c r="AC32" s="387"/>
      <c r="AD32" s="387"/>
      <c r="AE32" s="387"/>
      <c r="AF32" s="387"/>
      <c r="AG32" s="387"/>
      <c r="AH32" s="387"/>
    </row>
    <row r="33" spans="1:34">
      <c r="A33" s="411" t="s">
        <v>1101</v>
      </c>
      <c r="B33" s="834"/>
      <c r="C33" s="834"/>
      <c r="D33" s="834"/>
      <c r="E33" s="834"/>
      <c r="F33" s="834"/>
      <c r="G33" s="852"/>
      <c r="H33" s="852"/>
      <c r="I33" s="853"/>
      <c r="J33" s="387"/>
      <c r="K33" s="387"/>
      <c r="L33" s="387"/>
      <c r="M33" s="387"/>
      <c r="N33" s="387"/>
      <c r="O33" s="387"/>
      <c r="P33" s="387"/>
      <c r="Q33" s="387"/>
      <c r="R33" s="387"/>
      <c r="S33" s="387"/>
      <c r="T33" s="387"/>
      <c r="U33" s="387"/>
      <c r="V33" s="387"/>
      <c r="W33" s="387"/>
      <c r="X33" s="387"/>
      <c r="Y33" s="387"/>
      <c r="Z33" s="387"/>
      <c r="AA33" s="387"/>
      <c r="AB33" s="387"/>
      <c r="AC33" s="387"/>
      <c r="AD33" s="387"/>
      <c r="AE33" s="387"/>
      <c r="AF33" s="387"/>
      <c r="AG33" s="387"/>
      <c r="AH33" s="387"/>
    </row>
    <row r="34" spans="1:34">
      <c r="A34" s="411" t="s">
        <v>1102</v>
      </c>
      <c r="B34" s="834"/>
      <c r="C34" s="834"/>
      <c r="D34" s="834"/>
      <c r="E34" s="834"/>
      <c r="F34" s="834"/>
      <c r="G34" s="852"/>
      <c r="H34" s="852"/>
      <c r="I34" s="853"/>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c r="AH34" s="387"/>
    </row>
    <row r="35" spans="1:34">
      <c r="A35" s="411" t="s">
        <v>1104</v>
      </c>
      <c r="B35" s="834"/>
      <c r="C35" s="834"/>
      <c r="D35" s="834"/>
      <c r="E35" s="834"/>
      <c r="F35" s="834"/>
      <c r="G35" s="852"/>
      <c r="H35" s="852"/>
      <c r="I35" s="853"/>
      <c r="J35" s="387"/>
      <c r="K35" s="387"/>
      <c r="L35" s="387"/>
      <c r="M35" s="387"/>
      <c r="N35" s="387"/>
      <c r="O35" s="387"/>
      <c r="P35" s="387"/>
      <c r="Q35" s="387"/>
      <c r="R35" s="387"/>
      <c r="S35" s="387"/>
      <c r="T35" s="387"/>
      <c r="U35" s="387"/>
      <c r="V35" s="387"/>
      <c r="W35" s="387"/>
      <c r="X35" s="387"/>
      <c r="Y35" s="387"/>
      <c r="Z35" s="387"/>
      <c r="AA35" s="387"/>
      <c r="AB35" s="387"/>
      <c r="AC35" s="387"/>
      <c r="AD35" s="387"/>
      <c r="AE35" s="387"/>
      <c r="AF35" s="387"/>
      <c r="AG35" s="387"/>
      <c r="AH35" s="387"/>
    </row>
    <row r="36" spans="1:34">
      <c r="A36" s="411"/>
      <c r="B36" s="834"/>
      <c r="C36" s="834"/>
      <c r="D36" s="834"/>
      <c r="E36" s="834"/>
      <c r="F36" s="834"/>
      <c r="G36" s="779"/>
      <c r="H36" s="779"/>
      <c r="I36" s="782"/>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c r="AH36" s="387"/>
    </row>
    <row r="37" spans="1:34">
      <c r="A37" s="283"/>
      <c r="B37" s="230"/>
      <c r="C37" s="230"/>
      <c r="D37" s="230"/>
      <c r="E37" s="230"/>
      <c r="F37" s="1378" t="s">
        <v>949</v>
      </c>
      <c r="G37" s="1378"/>
      <c r="H37" s="1378"/>
      <c r="I37" s="782"/>
      <c r="J37" s="387"/>
      <c r="K37" s="387"/>
      <c r="L37" s="387"/>
      <c r="M37" s="387"/>
      <c r="N37" s="387"/>
      <c r="O37" s="387"/>
      <c r="P37" s="387"/>
      <c r="Q37" s="387"/>
      <c r="R37" s="387"/>
      <c r="S37" s="387"/>
      <c r="T37" s="387"/>
      <c r="U37" s="387"/>
      <c r="V37" s="387"/>
      <c r="W37" s="387"/>
      <c r="X37" s="387"/>
      <c r="Y37" s="387"/>
      <c r="Z37" s="387"/>
      <c r="AA37" s="387"/>
      <c r="AB37" s="387"/>
      <c r="AC37" s="387"/>
      <c r="AD37" s="387"/>
      <c r="AE37" s="387"/>
      <c r="AF37" s="387"/>
      <c r="AG37" s="387"/>
      <c r="AH37" s="387"/>
    </row>
    <row r="38" spans="1:34" ht="13.5" thickBot="1">
      <c r="A38" s="13" t="s">
        <v>41</v>
      </c>
      <c r="B38" s="10"/>
      <c r="C38" s="10"/>
      <c r="D38" s="10"/>
      <c r="E38" s="10"/>
      <c r="F38" s="1377" t="s">
        <v>919</v>
      </c>
      <c r="G38" s="1377"/>
      <c r="H38" s="1377"/>
      <c r="I38" s="782"/>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c r="AH38" s="387"/>
    </row>
    <row r="39" spans="1:34" ht="14.25">
      <c r="A39" s="20" t="s">
        <v>163</v>
      </c>
      <c r="B39" s="21" t="s">
        <v>163</v>
      </c>
      <c r="C39" s="21" t="s">
        <v>163</v>
      </c>
      <c r="D39" s="21" t="s">
        <v>71</v>
      </c>
      <c r="E39" s="21" t="s">
        <v>73</v>
      </c>
      <c r="F39" s="28" t="s">
        <v>101</v>
      </c>
      <c r="G39" s="28" t="s">
        <v>182</v>
      </c>
      <c r="H39" s="29" t="s">
        <v>100</v>
      </c>
      <c r="I39" s="782"/>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c r="AH39" s="387"/>
    </row>
    <row r="40" spans="1:34">
      <c r="A40" s="39" t="s">
        <v>166</v>
      </c>
      <c r="B40" s="28" t="s">
        <v>167</v>
      </c>
      <c r="C40" s="28" t="s">
        <v>780</v>
      </c>
      <c r="D40" s="786" t="s">
        <v>923</v>
      </c>
      <c r="E40" s="28" t="s">
        <v>74</v>
      </c>
      <c r="F40" s="28" t="s">
        <v>184</v>
      </c>
      <c r="G40" s="28" t="s">
        <v>184</v>
      </c>
      <c r="H40" s="29" t="s">
        <v>184</v>
      </c>
      <c r="I40" s="782"/>
      <c r="J40" s="387"/>
      <c r="K40" s="387"/>
      <c r="L40" s="387"/>
      <c r="M40" s="387"/>
      <c r="N40" s="387"/>
      <c r="O40" s="387"/>
      <c r="P40" s="387"/>
      <c r="Q40" s="387"/>
      <c r="R40" s="387"/>
      <c r="S40" s="387"/>
      <c r="T40" s="387"/>
      <c r="U40" s="387"/>
      <c r="V40" s="387"/>
      <c r="W40" s="387"/>
      <c r="X40" s="387"/>
      <c r="Y40" s="387"/>
      <c r="Z40" s="387"/>
      <c r="AA40" s="387"/>
      <c r="AB40" s="387"/>
      <c r="AC40" s="387"/>
      <c r="AD40" s="387"/>
      <c r="AE40" s="387"/>
      <c r="AF40" s="387"/>
      <c r="AG40" s="387"/>
      <c r="AH40" s="387"/>
    </row>
    <row r="41" spans="1:34" ht="13.5" thickBot="1">
      <c r="A41" s="23"/>
      <c r="B41" s="24"/>
      <c r="C41" s="24"/>
      <c r="D41" s="24"/>
      <c r="E41" s="24" t="s">
        <v>42</v>
      </c>
      <c r="F41" s="24" t="s">
        <v>920</v>
      </c>
      <c r="G41" s="24" t="s">
        <v>920</v>
      </c>
      <c r="H41" s="25" t="s">
        <v>920</v>
      </c>
      <c r="I41" s="782"/>
      <c r="J41" s="387"/>
      <c r="K41" s="387"/>
      <c r="L41" s="387"/>
      <c r="M41" s="387"/>
      <c r="N41" s="387"/>
      <c r="O41" s="387"/>
      <c r="P41" s="387"/>
      <c r="Q41" s="387"/>
      <c r="R41" s="387"/>
      <c r="S41" s="387"/>
      <c r="T41" s="387"/>
      <c r="U41" s="387"/>
      <c r="V41" s="387"/>
      <c r="W41" s="387"/>
      <c r="X41" s="387"/>
      <c r="Y41" s="387"/>
      <c r="Z41" s="387"/>
      <c r="AA41" s="387"/>
      <c r="AB41" s="387"/>
      <c r="AC41" s="387"/>
      <c r="AD41" s="387"/>
      <c r="AE41" s="387"/>
      <c r="AF41" s="387"/>
      <c r="AG41" s="387"/>
      <c r="AH41" s="387"/>
    </row>
    <row r="42" spans="1:34">
      <c r="A42" s="98" t="s">
        <v>1042</v>
      </c>
      <c r="B42" s="38" t="s">
        <v>1043</v>
      </c>
      <c r="C42" s="107">
        <v>6000</v>
      </c>
      <c r="D42" s="38" t="s">
        <v>62</v>
      </c>
      <c r="E42" s="107">
        <v>25000</v>
      </c>
      <c r="F42" s="799">
        <v>0</v>
      </c>
      <c r="G42" s="799">
        <v>0</v>
      </c>
      <c r="H42" s="799">
        <v>0</v>
      </c>
      <c r="I42" s="782"/>
      <c r="J42" s="387"/>
      <c r="K42" s="387"/>
      <c r="L42" s="387"/>
      <c r="M42" s="387"/>
      <c r="N42" s="387"/>
      <c r="O42" s="387"/>
      <c r="P42" s="387"/>
      <c r="Q42" s="387"/>
      <c r="R42" s="387"/>
      <c r="S42" s="387"/>
      <c r="T42" s="387"/>
      <c r="U42" s="387"/>
      <c r="V42" s="387"/>
      <c r="W42" s="387"/>
      <c r="X42" s="387"/>
      <c r="Y42" s="387"/>
      <c r="Z42" s="387"/>
      <c r="AA42" s="387"/>
      <c r="AB42" s="387"/>
      <c r="AC42" s="387"/>
      <c r="AD42" s="387"/>
      <c r="AE42" s="387"/>
      <c r="AF42" s="387"/>
      <c r="AG42" s="387"/>
      <c r="AH42" s="387"/>
    </row>
    <row r="43" spans="1:34">
      <c r="A43" s="250" t="s">
        <v>1042</v>
      </c>
      <c r="B43" s="251" t="s">
        <v>1044</v>
      </c>
      <c r="C43" s="252">
        <v>6000</v>
      </c>
      <c r="D43" s="251" t="s">
        <v>62</v>
      </c>
      <c r="E43" s="252">
        <f>100000-E42</f>
        <v>75000</v>
      </c>
      <c r="F43" s="799" t="s">
        <v>921</v>
      </c>
      <c r="G43" s="799" t="s">
        <v>921</v>
      </c>
      <c r="H43" s="799" t="s">
        <v>921</v>
      </c>
      <c r="I43" s="782"/>
      <c r="J43" s="387"/>
      <c r="K43" s="387"/>
      <c r="L43" s="387"/>
      <c r="M43" s="387"/>
      <c r="N43" s="387"/>
      <c r="O43" s="387"/>
      <c r="P43" s="387"/>
      <c r="Q43" s="387"/>
      <c r="R43" s="387"/>
      <c r="S43" s="387"/>
      <c r="T43" s="387"/>
      <c r="U43" s="387"/>
      <c r="V43" s="387"/>
      <c r="W43" s="387"/>
      <c r="X43" s="387"/>
      <c r="Y43" s="387"/>
      <c r="Z43" s="387"/>
      <c r="AA43" s="387"/>
      <c r="AB43" s="387"/>
      <c r="AC43" s="387"/>
      <c r="AD43" s="387"/>
      <c r="AE43" s="387"/>
      <c r="AF43" s="387"/>
      <c r="AG43" s="387"/>
      <c r="AH43" s="387"/>
    </row>
    <row r="44" spans="1:34" s="872" customFormat="1">
      <c r="A44" s="353"/>
      <c r="B44" s="353"/>
      <c r="C44" s="354"/>
      <c r="D44" s="353"/>
      <c r="E44" s="354"/>
      <c r="F44" s="354"/>
      <c r="G44" s="354"/>
      <c r="H44" s="354"/>
      <c r="I44" s="782"/>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87"/>
    </row>
    <row r="45" spans="1:34" s="872" customFormat="1">
      <c r="A45" s="353"/>
      <c r="B45" s="353"/>
      <c r="C45" s="354"/>
      <c r="D45" s="353"/>
      <c r="E45" s="354"/>
      <c r="F45" s="354"/>
      <c r="G45" s="354"/>
      <c r="H45" s="354"/>
      <c r="I45" s="782"/>
      <c r="J45" s="387"/>
      <c r="K45" s="387"/>
      <c r="L45" s="387"/>
      <c r="M45" s="387"/>
      <c r="N45" s="387"/>
      <c r="O45" s="387"/>
      <c r="P45" s="387"/>
      <c r="Q45" s="387"/>
      <c r="R45" s="387"/>
      <c r="S45" s="387"/>
      <c r="T45" s="387"/>
      <c r="U45" s="387"/>
      <c r="V45" s="387"/>
      <c r="W45" s="387"/>
      <c r="X45" s="387"/>
      <c r="Y45" s="387"/>
      <c r="Z45" s="387"/>
      <c r="AA45" s="387"/>
      <c r="AB45" s="387"/>
      <c r="AC45" s="387"/>
      <c r="AD45" s="387"/>
      <c r="AE45" s="387"/>
      <c r="AF45" s="387"/>
      <c r="AG45" s="387"/>
      <c r="AH45" s="387"/>
    </row>
    <row r="46" spans="1:34">
      <c r="A46" s="494" t="s">
        <v>944</v>
      </c>
      <c r="B46" s="420"/>
      <c r="C46" s="420"/>
      <c r="D46" s="420"/>
      <c r="E46" s="420"/>
      <c r="F46" s="420"/>
      <c r="G46" s="420"/>
      <c r="H46" s="420"/>
      <c r="I46" s="420"/>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87"/>
    </row>
    <row r="47" spans="1:34">
      <c r="A47" s="782"/>
      <c r="B47" s="803" t="s">
        <v>833</v>
      </c>
      <c r="C47" s="803"/>
      <c r="D47" s="803"/>
      <c r="E47" s="803"/>
      <c r="F47" s="803"/>
      <c r="G47" s="495"/>
      <c r="H47" s="495"/>
      <c r="I47" s="495"/>
      <c r="J47" s="387"/>
      <c r="K47" s="387"/>
      <c r="L47" s="387"/>
      <c r="M47" s="387"/>
      <c r="N47" s="387"/>
      <c r="O47" s="387"/>
      <c r="P47" s="387"/>
      <c r="Q47" s="387"/>
      <c r="R47" s="387"/>
      <c r="S47" s="387"/>
      <c r="T47" s="387"/>
      <c r="U47" s="387"/>
      <c r="V47" s="387"/>
      <c r="W47" s="387"/>
      <c r="X47" s="387"/>
      <c r="Y47" s="387"/>
      <c r="Z47" s="387"/>
      <c r="AA47" s="387"/>
      <c r="AB47" s="387"/>
      <c r="AC47" s="387"/>
      <c r="AD47" s="387"/>
      <c r="AE47" s="387"/>
      <c r="AF47" s="387"/>
      <c r="AG47" s="387"/>
      <c r="AH47" s="387"/>
    </row>
    <row r="48" spans="1:34" ht="12" customHeight="1">
      <c r="A48" s="495"/>
      <c r="B48" s="495"/>
      <c r="C48" s="782"/>
      <c r="D48" s="782"/>
      <c r="E48" s="782"/>
      <c r="F48" s="782"/>
      <c r="G48" s="495"/>
      <c r="H48" s="495"/>
      <c r="I48" s="495"/>
      <c r="J48" s="420"/>
      <c r="K48" s="420"/>
      <c r="L48" s="387"/>
      <c r="M48" s="387"/>
      <c r="N48" s="387"/>
      <c r="O48" s="387"/>
      <c r="P48" s="387"/>
      <c r="Q48" s="387"/>
      <c r="R48" s="387"/>
      <c r="S48" s="387"/>
      <c r="T48" s="387"/>
      <c r="U48" s="387"/>
      <c r="V48" s="387"/>
      <c r="W48" s="387"/>
      <c r="X48" s="387"/>
      <c r="Y48" s="387"/>
      <c r="Z48" s="387"/>
      <c r="AA48" s="387"/>
      <c r="AB48" s="387"/>
      <c r="AC48" s="387"/>
      <c r="AD48" s="387"/>
      <c r="AE48" s="387"/>
      <c r="AF48" s="387"/>
      <c r="AG48" s="387"/>
      <c r="AH48" s="387"/>
    </row>
    <row r="49" spans="1:34">
      <c r="A49" s="496"/>
      <c r="B49" s="496"/>
      <c r="C49" s="496"/>
      <c r="D49" s="496"/>
      <c r="E49" s="496"/>
      <c r="F49" s="496"/>
      <c r="G49" s="496"/>
      <c r="H49" s="497"/>
      <c r="I49" s="498"/>
      <c r="J49" s="420"/>
      <c r="K49" s="420"/>
      <c r="L49" s="387"/>
      <c r="M49" s="387"/>
      <c r="N49" s="387"/>
      <c r="O49" s="387"/>
      <c r="P49" s="387"/>
      <c r="Q49" s="387"/>
      <c r="R49" s="387"/>
      <c r="S49" s="387"/>
      <c r="T49" s="387"/>
      <c r="U49" s="387"/>
      <c r="V49" s="387"/>
      <c r="W49" s="387"/>
      <c r="X49" s="387"/>
      <c r="Y49" s="387"/>
      <c r="Z49" s="387"/>
      <c r="AA49" s="387"/>
      <c r="AB49" s="387"/>
      <c r="AC49" s="387"/>
      <c r="AD49" s="387"/>
      <c r="AE49" s="387"/>
      <c r="AF49" s="387"/>
      <c r="AG49" s="387"/>
      <c r="AH49" s="387"/>
    </row>
    <row r="50" spans="1:34">
      <c r="A50" s="496"/>
      <c r="B50" s="496"/>
      <c r="C50" s="496"/>
      <c r="D50" s="496"/>
      <c r="E50" s="496"/>
      <c r="F50" s="496"/>
      <c r="G50" s="496"/>
      <c r="H50" s="497"/>
      <c r="I50" s="498"/>
      <c r="J50" s="420"/>
      <c r="K50" s="420"/>
      <c r="L50" s="387"/>
      <c r="M50" s="387"/>
      <c r="N50" s="387"/>
      <c r="O50" s="387"/>
      <c r="P50" s="387"/>
      <c r="Q50" s="387"/>
      <c r="R50" s="387"/>
      <c r="S50" s="387"/>
      <c r="T50" s="387"/>
      <c r="U50" s="387"/>
      <c r="V50" s="387"/>
      <c r="W50" s="387"/>
      <c r="X50" s="387"/>
      <c r="Y50" s="387"/>
      <c r="Z50" s="387"/>
      <c r="AA50" s="387"/>
      <c r="AB50" s="387"/>
      <c r="AC50" s="387"/>
      <c r="AD50" s="387"/>
      <c r="AE50" s="387"/>
      <c r="AF50" s="387"/>
      <c r="AG50" s="387"/>
      <c r="AH50" s="387"/>
    </row>
    <row r="51" spans="1:34">
      <c r="A51" s="496"/>
      <c r="B51" s="496"/>
      <c r="C51" s="496"/>
      <c r="D51" s="496"/>
      <c r="E51" s="496"/>
      <c r="F51" s="496"/>
      <c r="G51" s="496"/>
      <c r="H51" s="497"/>
      <c r="I51" s="498"/>
      <c r="J51" s="420"/>
      <c r="K51" s="420"/>
      <c r="L51" s="387"/>
      <c r="M51" s="387"/>
      <c r="N51" s="387"/>
      <c r="O51" s="387"/>
      <c r="P51" s="387"/>
      <c r="Q51" s="387"/>
      <c r="R51" s="387"/>
      <c r="S51" s="387"/>
      <c r="T51" s="387"/>
      <c r="U51" s="387"/>
      <c r="V51" s="387"/>
      <c r="W51" s="387"/>
      <c r="X51" s="387"/>
      <c r="Y51" s="387"/>
      <c r="Z51" s="387"/>
      <c r="AA51" s="387"/>
      <c r="AB51" s="387"/>
      <c r="AC51" s="387"/>
      <c r="AD51" s="387"/>
      <c r="AE51" s="387"/>
      <c r="AF51" s="387"/>
      <c r="AG51" s="387"/>
      <c r="AH51" s="387"/>
    </row>
    <row r="52" spans="1:34">
      <c r="A52" s="496"/>
      <c r="B52" s="496"/>
      <c r="C52" s="496"/>
      <c r="D52" s="496"/>
      <c r="E52" s="496"/>
      <c r="F52" s="496"/>
      <c r="G52" s="496"/>
      <c r="H52" s="497"/>
      <c r="I52" s="498"/>
      <c r="J52" s="420"/>
      <c r="K52" s="420"/>
      <c r="L52" s="387"/>
      <c r="M52" s="387"/>
      <c r="N52" s="387"/>
      <c r="O52" s="387"/>
      <c r="P52" s="387"/>
      <c r="Q52" s="387"/>
      <c r="R52" s="387"/>
      <c r="S52" s="387"/>
      <c r="T52" s="387"/>
      <c r="U52" s="387"/>
      <c r="V52" s="387"/>
      <c r="W52" s="387"/>
      <c r="X52" s="387"/>
      <c r="Y52" s="387"/>
      <c r="Z52" s="387"/>
      <c r="AA52" s="387"/>
      <c r="AB52" s="387"/>
      <c r="AC52" s="387"/>
      <c r="AD52" s="387"/>
      <c r="AE52" s="387"/>
      <c r="AF52" s="387"/>
      <c r="AG52" s="387"/>
      <c r="AH52" s="387"/>
    </row>
    <row r="53" spans="1:34">
      <c r="A53" s="496"/>
      <c r="B53" s="496"/>
      <c r="C53" s="496"/>
      <c r="D53" s="496"/>
      <c r="E53" s="496"/>
      <c r="F53" s="496"/>
      <c r="G53" s="496"/>
      <c r="H53" s="497"/>
      <c r="I53" s="498"/>
      <c r="J53" s="420"/>
      <c r="K53" s="420"/>
      <c r="L53" s="387"/>
      <c r="M53" s="387"/>
      <c r="N53" s="387"/>
      <c r="O53" s="387"/>
      <c r="P53" s="387"/>
      <c r="Q53" s="387"/>
      <c r="R53" s="387"/>
      <c r="S53" s="387"/>
      <c r="T53" s="387"/>
      <c r="U53" s="387"/>
      <c r="V53" s="387"/>
      <c r="W53" s="387"/>
      <c r="X53" s="387"/>
      <c r="Y53" s="387"/>
      <c r="Z53" s="387"/>
      <c r="AA53" s="387"/>
      <c r="AB53" s="387"/>
      <c r="AC53" s="387"/>
      <c r="AD53" s="387"/>
      <c r="AE53" s="387"/>
      <c r="AF53" s="387"/>
      <c r="AG53" s="387"/>
      <c r="AH53" s="387"/>
    </row>
    <row r="54" spans="1:34">
      <c r="A54" s="496"/>
      <c r="B54" s="496"/>
      <c r="C54" s="496"/>
      <c r="D54" s="496"/>
      <c r="E54" s="496"/>
      <c r="F54" s="496"/>
      <c r="G54" s="496"/>
      <c r="H54" s="497"/>
      <c r="I54" s="498"/>
      <c r="J54" s="420"/>
      <c r="K54" s="420"/>
      <c r="L54" s="387"/>
      <c r="M54" s="387"/>
      <c r="N54" s="387"/>
      <c r="O54" s="387"/>
      <c r="P54" s="387"/>
      <c r="Q54" s="387"/>
      <c r="R54" s="387"/>
      <c r="S54" s="387"/>
      <c r="T54" s="387"/>
      <c r="U54" s="387"/>
      <c r="V54" s="387"/>
      <c r="W54" s="387"/>
      <c r="X54" s="387"/>
      <c r="Y54" s="387"/>
      <c r="Z54" s="387"/>
      <c r="AA54" s="387"/>
      <c r="AB54" s="387"/>
      <c r="AC54" s="387"/>
      <c r="AD54" s="387"/>
      <c r="AE54" s="387"/>
      <c r="AF54" s="387"/>
      <c r="AG54" s="387"/>
      <c r="AH54" s="387"/>
    </row>
    <row r="55" spans="1:34">
      <c r="A55" s="496"/>
      <c r="B55" s="496"/>
      <c r="C55" s="496"/>
      <c r="D55" s="496"/>
      <c r="E55" s="496"/>
      <c r="F55" s="496"/>
      <c r="G55" s="496"/>
      <c r="H55" s="497"/>
      <c r="I55" s="498"/>
      <c r="J55" s="420"/>
      <c r="K55" s="420"/>
      <c r="L55" s="387"/>
      <c r="M55" s="387"/>
      <c r="N55" s="387"/>
      <c r="O55" s="387"/>
      <c r="P55" s="387"/>
      <c r="Q55" s="387"/>
      <c r="R55" s="387"/>
      <c r="S55" s="387"/>
      <c r="T55" s="387"/>
      <c r="U55" s="387"/>
      <c r="V55" s="387"/>
      <c r="W55" s="387"/>
      <c r="X55" s="387"/>
      <c r="Y55" s="387"/>
      <c r="Z55" s="387"/>
      <c r="AA55" s="387"/>
      <c r="AB55" s="387"/>
      <c r="AC55" s="387"/>
      <c r="AD55" s="387"/>
      <c r="AE55" s="387"/>
      <c r="AF55" s="387"/>
      <c r="AG55" s="387"/>
      <c r="AH55" s="387"/>
    </row>
    <row r="56" spans="1:34">
      <c r="A56" s="496"/>
      <c r="B56" s="496"/>
      <c r="C56" s="496"/>
      <c r="D56" s="496"/>
      <c r="E56" s="496"/>
      <c r="F56" s="496"/>
      <c r="G56" s="496"/>
      <c r="H56" s="497"/>
      <c r="I56" s="498"/>
      <c r="J56" s="420"/>
      <c r="K56" s="420"/>
      <c r="L56" s="387"/>
      <c r="M56" s="387"/>
      <c r="N56" s="387"/>
      <c r="O56" s="387"/>
      <c r="P56" s="387"/>
      <c r="Q56" s="387"/>
      <c r="R56" s="387"/>
      <c r="S56" s="387"/>
      <c r="T56" s="387"/>
      <c r="U56" s="387"/>
      <c r="V56" s="387"/>
      <c r="W56" s="387"/>
      <c r="X56" s="387"/>
      <c r="Y56" s="387"/>
      <c r="Z56" s="387"/>
      <c r="AA56" s="387"/>
      <c r="AB56" s="387"/>
      <c r="AC56" s="387"/>
      <c r="AD56" s="387"/>
      <c r="AE56" s="387"/>
      <c r="AF56" s="387"/>
      <c r="AG56" s="387"/>
      <c r="AH56" s="387"/>
    </row>
    <row r="57" spans="1:34">
      <c r="A57" s="496"/>
      <c r="B57" s="496"/>
      <c r="C57" s="496"/>
      <c r="D57" s="496"/>
      <c r="E57" s="496"/>
      <c r="F57" s="496"/>
      <c r="G57" s="496"/>
      <c r="H57" s="497"/>
      <c r="I57" s="498"/>
      <c r="J57" s="420"/>
      <c r="K57" s="420"/>
      <c r="L57" s="387"/>
      <c r="M57" s="387"/>
      <c r="N57" s="387"/>
      <c r="O57" s="387"/>
      <c r="P57" s="387"/>
      <c r="Q57" s="387"/>
      <c r="R57" s="387"/>
      <c r="S57" s="387"/>
      <c r="T57" s="387"/>
      <c r="U57" s="387"/>
      <c r="V57" s="387"/>
      <c r="W57" s="387"/>
      <c r="X57" s="387"/>
      <c r="Y57" s="387"/>
      <c r="Z57" s="387"/>
      <c r="AA57" s="387"/>
      <c r="AB57" s="387"/>
      <c r="AC57" s="387"/>
      <c r="AD57" s="387"/>
      <c r="AE57" s="387"/>
      <c r="AF57" s="387"/>
      <c r="AG57" s="387"/>
      <c r="AH57" s="387"/>
    </row>
    <row r="58" spans="1:34">
      <c r="A58" s="496"/>
      <c r="B58" s="496"/>
      <c r="C58" s="496"/>
      <c r="D58" s="496"/>
      <c r="E58" s="496"/>
      <c r="F58" s="496"/>
      <c r="G58" s="496"/>
      <c r="H58" s="497"/>
      <c r="I58" s="498"/>
      <c r="J58" s="420"/>
      <c r="K58" s="420"/>
      <c r="L58" s="387"/>
      <c r="M58" s="387"/>
      <c r="N58" s="387"/>
      <c r="O58" s="387"/>
      <c r="P58" s="387"/>
      <c r="Q58" s="387"/>
      <c r="R58" s="387"/>
      <c r="S58" s="387"/>
      <c r="T58" s="387"/>
      <c r="U58" s="387"/>
      <c r="V58" s="387"/>
      <c r="W58" s="387"/>
      <c r="X58" s="387"/>
      <c r="Y58" s="387"/>
      <c r="Z58" s="387"/>
      <c r="AA58" s="387"/>
      <c r="AB58" s="387"/>
      <c r="AC58" s="387"/>
      <c r="AD58" s="387"/>
      <c r="AE58" s="387"/>
      <c r="AF58" s="387"/>
      <c r="AG58" s="387"/>
      <c r="AH58" s="387"/>
    </row>
    <row r="59" spans="1:34">
      <c r="A59" s="496"/>
      <c r="B59" s="496"/>
      <c r="C59" s="496"/>
      <c r="D59" s="496"/>
      <c r="E59" s="496"/>
      <c r="F59" s="496"/>
      <c r="G59" s="496"/>
      <c r="H59" s="497"/>
      <c r="I59" s="498"/>
      <c r="J59" s="420"/>
      <c r="K59" s="420"/>
      <c r="L59" s="387"/>
      <c r="M59" s="387"/>
      <c r="N59" s="387"/>
      <c r="O59" s="387"/>
      <c r="P59" s="387"/>
      <c r="Q59" s="387"/>
      <c r="R59" s="387"/>
      <c r="S59" s="387"/>
      <c r="T59" s="387"/>
      <c r="U59" s="387"/>
      <c r="V59" s="387"/>
      <c r="W59" s="387"/>
      <c r="X59" s="387"/>
      <c r="Y59" s="387"/>
      <c r="Z59" s="387"/>
      <c r="AA59" s="387"/>
      <c r="AB59" s="387"/>
      <c r="AC59" s="387"/>
      <c r="AD59" s="387"/>
      <c r="AE59" s="387"/>
      <c r="AF59" s="387"/>
      <c r="AG59" s="387"/>
      <c r="AH59" s="387"/>
    </row>
    <row r="60" spans="1:34">
      <c r="A60" s="496"/>
      <c r="B60" s="496"/>
      <c r="C60" s="496"/>
      <c r="D60" s="496"/>
      <c r="E60" s="496"/>
      <c r="F60" s="496"/>
      <c r="G60" s="496"/>
      <c r="H60" s="497"/>
      <c r="I60" s="498"/>
      <c r="J60" s="420"/>
      <c r="K60" s="420"/>
      <c r="L60" s="387"/>
      <c r="M60" s="387"/>
      <c r="N60" s="387"/>
      <c r="O60" s="387"/>
      <c r="P60" s="387"/>
      <c r="Q60" s="387"/>
      <c r="R60" s="387"/>
      <c r="S60" s="387"/>
      <c r="T60" s="387"/>
      <c r="U60" s="387"/>
      <c r="V60" s="387"/>
      <c r="W60" s="387"/>
      <c r="X60" s="387"/>
      <c r="Y60" s="387"/>
      <c r="Z60" s="387"/>
      <c r="AA60" s="387"/>
      <c r="AB60" s="387"/>
      <c r="AC60" s="387"/>
      <c r="AD60" s="387"/>
      <c r="AE60" s="387"/>
      <c r="AF60" s="387"/>
      <c r="AG60" s="387"/>
      <c r="AH60" s="387"/>
    </row>
    <row r="61" spans="1:34">
      <c r="A61" s="496"/>
      <c r="B61" s="499"/>
      <c r="C61" s="499"/>
      <c r="D61" s="499"/>
      <c r="E61" s="499"/>
      <c r="F61" s="499"/>
      <c r="G61" s="496"/>
      <c r="H61" s="497"/>
      <c r="I61" s="498"/>
      <c r="J61" s="420"/>
      <c r="K61" s="420"/>
      <c r="L61" s="387"/>
      <c r="M61" s="387"/>
      <c r="N61" s="387"/>
      <c r="O61" s="387"/>
      <c r="P61" s="387"/>
      <c r="Q61" s="387"/>
      <c r="R61" s="387"/>
      <c r="S61" s="387"/>
      <c r="T61" s="387"/>
      <c r="U61" s="387"/>
      <c r="V61" s="387"/>
      <c r="W61" s="387"/>
      <c r="X61" s="387"/>
      <c r="Y61" s="387"/>
      <c r="Z61" s="387"/>
      <c r="AA61" s="387"/>
      <c r="AB61" s="387"/>
      <c r="AC61" s="387"/>
      <c r="AD61" s="387"/>
      <c r="AE61" s="387"/>
      <c r="AF61" s="387"/>
      <c r="AG61" s="387"/>
      <c r="AH61" s="387"/>
    </row>
    <row r="62" spans="1:34">
      <c r="A62" s="496"/>
      <c r="B62" s="499"/>
      <c r="C62" s="499"/>
      <c r="D62" s="499"/>
      <c r="E62" s="499"/>
      <c r="F62" s="499"/>
      <c r="G62" s="496"/>
      <c r="H62" s="497"/>
      <c r="I62" s="498"/>
      <c r="J62" s="420"/>
      <c r="K62" s="420"/>
      <c r="L62" s="387"/>
      <c r="M62" s="387"/>
      <c r="N62" s="387"/>
      <c r="O62" s="387"/>
      <c r="P62" s="387"/>
      <c r="Q62" s="387"/>
      <c r="R62" s="387"/>
      <c r="S62" s="387"/>
      <c r="T62" s="387"/>
      <c r="U62" s="387"/>
      <c r="V62" s="387"/>
      <c r="W62" s="387"/>
      <c r="X62" s="387"/>
      <c r="Y62" s="387"/>
      <c r="Z62" s="387"/>
      <c r="AA62" s="387"/>
      <c r="AB62" s="387"/>
      <c r="AC62" s="387"/>
      <c r="AD62" s="387"/>
      <c r="AE62" s="387"/>
      <c r="AF62" s="387"/>
      <c r="AG62" s="387"/>
      <c r="AH62" s="387"/>
    </row>
    <row r="63" spans="1:34">
      <c r="A63" s="496"/>
      <c r="B63" s="499"/>
      <c r="C63" s="499"/>
      <c r="D63" s="499"/>
      <c r="E63" s="499"/>
      <c r="F63" s="499"/>
      <c r="G63" s="496"/>
      <c r="H63" s="497"/>
      <c r="I63" s="498"/>
      <c r="J63" s="420"/>
      <c r="K63" s="420"/>
      <c r="L63" s="387"/>
      <c r="M63" s="387"/>
      <c r="N63" s="387"/>
      <c r="O63" s="387"/>
      <c r="P63" s="387"/>
      <c r="Q63" s="387"/>
      <c r="R63" s="387"/>
      <c r="S63" s="387"/>
      <c r="T63" s="387"/>
      <c r="U63" s="387"/>
      <c r="V63" s="387"/>
      <c r="W63" s="387"/>
      <c r="X63" s="387"/>
      <c r="Y63" s="387"/>
      <c r="Z63" s="387"/>
      <c r="AA63" s="387"/>
      <c r="AB63" s="387"/>
      <c r="AC63" s="387"/>
      <c r="AD63" s="387"/>
      <c r="AE63" s="387"/>
      <c r="AF63" s="387"/>
      <c r="AG63" s="387"/>
      <c r="AH63" s="387"/>
    </row>
    <row r="64" spans="1:34">
      <c r="A64" s="496"/>
      <c r="B64" s="499"/>
      <c r="C64" s="499"/>
      <c r="D64" s="499"/>
      <c r="E64" s="499"/>
      <c r="F64" s="499"/>
      <c r="G64" s="496"/>
      <c r="H64" s="497"/>
      <c r="I64" s="498"/>
      <c r="J64" s="420"/>
      <c r="K64" s="420"/>
      <c r="L64" s="387"/>
      <c r="M64" s="387"/>
      <c r="N64" s="387"/>
      <c r="O64" s="387"/>
      <c r="P64" s="387"/>
      <c r="Q64" s="387"/>
      <c r="R64" s="387"/>
      <c r="S64" s="387"/>
      <c r="T64" s="387"/>
      <c r="U64" s="387"/>
      <c r="V64" s="387"/>
      <c r="W64" s="387"/>
      <c r="X64" s="387"/>
      <c r="Y64" s="387"/>
      <c r="Z64" s="387"/>
      <c r="AA64" s="387"/>
      <c r="AB64" s="387"/>
      <c r="AC64" s="387"/>
      <c r="AD64" s="387"/>
      <c r="AE64" s="387"/>
      <c r="AF64" s="387"/>
      <c r="AG64" s="387"/>
      <c r="AH64" s="387"/>
    </row>
    <row r="65" spans="1:34">
      <c r="A65" s="496"/>
      <c r="B65" s="499"/>
      <c r="C65" s="499"/>
      <c r="D65" s="499"/>
      <c r="E65" s="499"/>
      <c r="F65" s="499"/>
      <c r="G65" s="496"/>
      <c r="H65" s="497"/>
      <c r="I65" s="498"/>
      <c r="J65" s="420"/>
      <c r="K65" s="420"/>
      <c r="L65" s="387"/>
      <c r="M65" s="387"/>
      <c r="N65" s="387"/>
      <c r="O65" s="387"/>
      <c r="P65" s="387"/>
      <c r="Q65" s="387"/>
      <c r="R65" s="387"/>
      <c r="S65" s="387"/>
      <c r="T65" s="387"/>
      <c r="U65" s="387"/>
      <c r="V65" s="387"/>
      <c r="W65" s="387"/>
      <c r="X65" s="387"/>
      <c r="Y65" s="387"/>
      <c r="Z65" s="387"/>
      <c r="AA65" s="387"/>
      <c r="AB65" s="387"/>
      <c r="AC65" s="387"/>
      <c r="AD65" s="387"/>
      <c r="AE65" s="387"/>
      <c r="AF65" s="387"/>
      <c r="AG65" s="387"/>
      <c r="AH65" s="387"/>
    </row>
    <row r="66" spans="1:34">
      <c r="A66" s="496"/>
      <c r="B66" s="499"/>
      <c r="C66" s="499"/>
      <c r="D66" s="499"/>
      <c r="E66" s="499"/>
      <c r="F66" s="499"/>
      <c r="G66" s="496"/>
      <c r="H66" s="497"/>
      <c r="I66" s="498"/>
      <c r="J66" s="420"/>
      <c r="K66" s="420"/>
      <c r="L66" s="387"/>
      <c r="M66" s="387"/>
      <c r="N66" s="387"/>
      <c r="O66" s="387"/>
      <c r="P66" s="387"/>
      <c r="Q66" s="387"/>
      <c r="R66" s="387"/>
      <c r="S66" s="387"/>
      <c r="T66" s="387"/>
      <c r="U66" s="387"/>
      <c r="V66" s="387"/>
      <c r="W66" s="387"/>
      <c r="X66" s="387"/>
      <c r="Y66" s="387"/>
      <c r="Z66" s="387"/>
      <c r="AA66" s="387"/>
      <c r="AB66" s="387"/>
      <c r="AC66" s="387"/>
      <c r="AD66" s="387"/>
      <c r="AE66" s="387"/>
      <c r="AF66" s="387"/>
      <c r="AG66" s="387"/>
      <c r="AH66" s="387"/>
    </row>
    <row r="67" spans="1:34">
      <c r="A67" s="496"/>
      <c r="B67" s="499"/>
      <c r="C67" s="499"/>
      <c r="D67" s="499"/>
      <c r="E67" s="499"/>
      <c r="F67" s="499"/>
      <c r="G67" s="496"/>
      <c r="H67" s="497"/>
      <c r="I67" s="498"/>
      <c r="J67" s="420"/>
      <c r="K67" s="420"/>
      <c r="L67" s="387"/>
      <c r="M67" s="387"/>
      <c r="N67" s="387"/>
      <c r="O67" s="387"/>
      <c r="P67" s="387"/>
      <c r="Q67" s="387"/>
      <c r="R67" s="387"/>
      <c r="S67" s="387"/>
      <c r="T67" s="387"/>
      <c r="U67" s="387"/>
      <c r="V67" s="387"/>
      <c r="W67" s="387"/>
      <c r="X67" s="387"/>
      <c r="Y67" s="387"/>
      <c r="Z67" s="387"/>
      <c r="AA67" s="387"/>
      <c r="AB67" s="387"/>
      <c r="AC67" s="387"/>
      <c r="AD67" s="387"/>
      <c r="AE67" s="387"/>
      <c r="AF67" s="387"/>
      <c r="AG67" s="387"/>
      <c r="AH67" s="387"/>
    </row>
    <row r="68" spans="1:34">
      <c r="A68" s="496"/>
      <c r="B68" s="499"/>
      <c r="C68" s="499"/>
      <c r="D68" s="499"/>
      <c r="E68" s="499"/>
      <c r="F68" s="499"/>
      <c r="G68" s="496"/>
      <c r="H68" s="497"/>
      <c r="I68" s="498"/>
      <c r="J68" s="420"/>
      <c r="K68" s="420"/>
      <c r="L68" s="387"/>
      <c r="M68" s="387"/>
      <c r="N68" s="387"/>
      <c r="O68" s="387"/>
      <c r="P68" s="387"/>
      <c r="Q68" s="387"/>
      <c r="R68" s="387"/>
      <c r="S68" s="387"/>
      <c r="T68" s="387"/>
      <c r="U68" s="387"/>
      <c r="V68" s="387"/>
      <c r="W68" s="387"/>
      <c r="X68" s="387"/>
      <c r="Y68" s="387"/>
      <c r="Z68" s="387"/>
      <c r="AA68" s="387"/>
      <c r="AB68" s="387"/>
      <c r="AC68" s="387"/>
      <c r="AD68" s="387"/>
      <c r="AE68" s="387"/>
      <c r="AF68" s="387"/>
      <c r="AG68" s="387"/>
      <c r="AH68" s="387"/>
    </row>
    <row r="69" spans="1:34">
      <c r="A69" s="496"/>
      <c r="B69" s="499"/>
      <c r="C69" s="499"/>
      <c r="D69" s="499"/>
      <c r="E69" s="499"/>
      <c r="F69" s="499"/>
      <c r="G69" s="496"/>
      <c r="H69" s="497"/>
      <c r="I69" s="498"/>
      <c r="J69" s="420"/>
      <c r="K69" s="420"/>
      <c r="L69" s="387"/>
      <c r="M69" s="387"/>
      <c r="N69" s="387"/>
      <c r="O69" s="387"/>
      <c r="P69" s="387"/>
      <c r="Q69" s="387"/>
      <c r="R69" s="387"/>
      <c r="S69" s="387"/>
      <c r="T69" s="387"/>
      <c r="U69" s="387"/>
      <c r="V69" s="387"/>
      <c r="W69" s="387"/>
      <c r="X69" s="387"/>
      <c r="Y69" s="387"/>
      <c r="Z69" s="387"/>
      <c r="AA69" s="387"/>
      <c r="AB69" s="387"/>
      <c r="AC69" s="387"/>
      <c r="AD69" s="387"/>
      <c r="AE69" s="387"/>
      <c r="AF69" s="387"/>
      <c r="AG69" s="387"/>
      <c r="AH69" s="387"/>
    </row>
    <row r="70" spans="1:34">
      <c r="A70" s="496"/>
      <c r="B70" s="499"/>
      <c r="C70" s="499"/>
      <c r="D70" s="499"/>
      <c r="E70" s="499"/>
      <c r="F70" s="499"/>
      <c r="G70" s="496"/>
      <c r="H70" s="497"/>
      <c r="I70" s="498"/>
      <c r="J70" s="420"/>
      <c r="K70" s="420"/>
      <c r="L70" s="387"/>
      <c r="M70" s="387"/>
      <c r="N70" s="387"/>
      <c r="O70" s="387"/>
      <c r="P70" s="387"/>
      <c r="Q70" s="387"/>
      <c r="R70" s="387"/>
      <c r="S70" s="387"/>
      <c r="T70" s="387"/>
      <c r="U70" s="387"/>
      <c r="V70" s="387"/>
      <c r="W70" s="387"/>
      <c r="X70" s="387"/>
      <c r="Y70" s="387"/>
      <c r="Z70" s="387"/>
      <c r="AA70" s="387"/>
      <c r="AB70" s="387"/>
      <c r="AC70" s="387"/>
      <c r="AD70" s="387"/>
      <c r="AE70" s="387"/>
      <c r="AF70" s="387"/>
      <c r="AG70" s="387"/>
      <c r="AH70" s="387"/>
    </row>
    <row r="71" spans="1:34">
      <c r="A71" s="496"/>
      <c r="B71" s="499"/>
      <c r="C71" s="499"/>
      <c r="D71" s="499"/>
      <c r="E71" s="499"/>
      <c r="F71" s="499"/>
      <c r="G71" s="496"/>
      <c r="H71" s="497"/>
      <c r="I71" s="498"/>
      <c r="J71" s="420"/>
      <c r="K71" s="420"/>
      <c r="L71" s="387"/>
      <c r="M71" s="387"/>
      <c r="N71" s="387"/>
      <c r="O71" s="387"/>
      <c r="P71" s="387"/>
      <c r="Q71" s="387"/>
      <c r="R71" s="387"/>
      <c r="S71" s="387"/>
      <c r="T71" s="387"/>
      <c r="U71" s="387"/>
      <c r="V71" s="387"/>
      <c r="W71" s="387"/>
      <c r="X71" s="387"/>
      <c r="Y71" s="387"/>
      <c r="Z71" s="387"/>
      <c r="AA71" s="387"/>
      <c r="AB71" s="387"/>
      <c r="AC71" s="387"/>
      <c r="AD71" s="387"/>
      <c r="AE71" s="387"/>
      <c r="AF71" s="387"/>
      <c r="AG71" s="387"/>
      <c r="AH71" s="387"/>
    </row>
    <row r="72" spans="1:34">
      <c r="A72" s="496"/>
      <c r="B72" s="499"/>
      <c r="C72" s="499"/>
      <c r="D72" s="499"/>
      <c r="E72" s="499"/>
      <c r="F72" s="499"/>
      <c r="G72" s="496"/>
      <c r="H72" s="497"/>
      <c r="I72" s="498"/>
      <c r="J72" s="420"/>
      <c r="K72" s="420"/>
      <c r="L72" s="387"/>
      <c r="M72" s="387"/>
      <c r="N72" s="387"/>
      <c r="O72" s="387"/>
      <c r="P72" s="387"/>
      <c r="Q72" s="387"/>
      <c r="R72" s="387"/>
      <c r="S72" s="387"/>
      <c r="T72" s="387"/>
      <c r="U72" s="387"/>
      <c r="V72" s="387"/>
      <c r="W72" s="387"/>
      <c r="X72" s="387"/>
      <c r="Y72" s="387"/>
      <c r="Z72" s="387"/>
      <c r="AA72" s="387"/>
      <c r="AB72" s="387"/>
      <c r="AC72" s="387"/>
      <c r="AD72" s="387"/>
      <c r="AE72" s="387"/>
      <c r="AF72" s="387"/>
      <c r="AG72" s="387"/>
      <c r="AH72" s="387"/>
    </row>
    <row r="73" spans="1:34">
      <c r="A73" s="496"/>
      <c r="B73" s="499"/>
      <c r="C73" s="499"/>
      <c r="D73" s="499"/>
      <c r="E73" s="499"/>
      <c r="F73" s="499"/>
      <c r="G73" s="496"/>
      <c r="H73" s="497"/>
      <c r="I73" s="498"/>
      <c r="J73" s="420"/>
      <c r="K73" s="420"/>
      <c r="L73" s="387"/>
      <c r="M73" s="387"/>
      <c r="N73" s="387"/>
      <c r="O73" s="387"/>
      <c r="P73" s="387"/>
      <c r="Q73" s="387"/>
      <c r="R73" s="387"/>
      <c r="S73" s="387"/>
      <c r="T73" s="387"/>
      <c r="U73" s="387"/>
      <c r="V73" s="387"/>
      <c r="W73" s="387"/>
      <c r="X73" s="387"/>
      <c r="Y73" s="387"/>
      <c r="Z73" s="387"/>
      <c r="AA73" s="387"/>
      <c r="AB73" s="387"/>
      <c r="AC73" s="387"/>
      <c r="AD73" s="387"/>
      <c r="AE73" s="387"/>
      <c r="AF73" s="387"/>
      <c r="AG73" s="387"/>
      <c r="AH73" s="387"/>
    </row>
    <row r="74" spans="1:34">
      <c r="A74" s="496"/>
      <c r="B74" s="499"/>
      <c r="C74" s="499"/>
      <c r="D74" s="499"/>
      <c r="E74" s="499"/>
      <c r="F74" s="499"/>
      <c r="G74" s="496"/>
      <c r="H74" s="497"/>
      <c r="I74" s="498"/>
      <c r="J74" s="420"/>
      <c r="K74" s="420"/>
      <c r="L74" s="387"/>
      <c r="M74" s="387"/>
      <c r="N74" s="387"/>
      <c r="O74" s="387"/>
      <c r="P74" s="387"/>
      <c r="Q74" s="387"/>
      <c r="R74" s="387"/>
      <c r="S74" s="387"/>
      <c r="T74" s="387"/>
      <c r="U74" s="387"/>
      <c r="V74" s="387"/>
      <c r="W74" s="387"/>
      <c r="X74" s="387"/>
      <c r="Y74" s="387"/>
      <c r="Z74" s="387"/>
      <c r="AA74" s="387"/>
      <c r="AB74" s="387"/>
      <c r="AC74" s="387"/>
      <c r="AD74" s="387"/>
      <c r="AE74" s="387"/>
      <c r="AF74" s="387"/>
      <c r="AG74" s="387"/>
      <c r="AH74" s="387"/>
    </row>
    <row r="75" spans="1:34">
      <c r="A75" s="496"/>
      <c r="B75" s="499"/>
      <c r="C75" s="499"/>
      <c r="D75" s="499"/>
      <c r="E75" s="499"/>
      <c r="F75" s="499"/>
      <c r="G75" s="496"/>
      <c r="H75" s="497"/>
      <c r="I75" s="498"/>
      <c r="J75" s="420"/>
      <c r="K75" s="420"/>
      <c r="L75" s="387"/>
      <c r="M75" s="387"/>
      <c r="N75" s="387"/>
      <c r="O75" s="387"/>
      <c r="P75" s="387"/>
      <c r="Q75" s="387"/>
      <c r="R75" s="387"/>
      <c r="S75" s="387"/>
      <c r="T75" s="387"/>
      <c r="U75" s="387"/>
      <c r="V75" s="387"/>
      <c r="W75" s="387"/>
      <c r="X75" s="387"/>
      <c r="Y75" s="387"/>
      <c r="Z75" s="387"/>
      <c r="AA75" s="387"/>
      <c r="AB75" s="387"/>
      <c r="AC75" s="387"/>
      <c r="AD75" s="387"/>
      <c r="AE75" s="387"/>
      <c r="AF75" s="387"/>
      <c r="AG75" s="387"/>
      <c r="AH75" s="387"/>
    </row>
    <row r="76" spans="1:34">
      <c r="A76" s="496"/>
      <c r="B76" s="499"/>
      <c r="C76" s="499"/>
      <c r="D76" s="499"/>
      <c r="E76" s="499"/>
      <c r="F76" s="499"/>
      <c r="G76" s="496"/>
      <c r="H76" s="497"/>
      <c r="I76" s="498"/>
      <c r="J76" s="420"/>
      <c r="K76" s="420"/>
      <c r="L76" s="387"/>
      <c r="M76" s="387"/>
      <c r="N76" s="387"/>
      <c r="O76" s="387"/>
      <c r="P76" s="387"/>
      <c r="Q76" s="387"/>
      <c r="R76" s="387"/>
      <c r="S76" s="387"/>
      <c r="T76" s="387"/>
      <c r="U76" s="387"/>
      <c r="V76" s="387"/>
      <c r="W76" s="387"/>
      <c r="X76" s="387"/>
      <c r="Y76" s="387"/>
      <c r="Z76" s="387"/>
      <c r="AA76" s="387"/>
      <c r="AB76" s="387"/>
      <c r="AC76" s="387"/>
      <c r="AD76" s="387"/>
      <c r="AE76" s="387"/>
      <c r="AF76" s="387"/>
      <c r="AG76" s="387"/>
      <c r="AH76" s="387"/>
    </row>
    <row r="77" spans="1:34">
      <c r="A77" s="496"/>
      <c r="B77" s="499"/>
      <c r="C77" s="499"/>
      <c r="D77" s="499"/>
      <c r="E77" s="499"/>
      <c r="F77" s="499"/>
      <c r="G77" s="496"/>
      <c r="H77" s="497"/>
      <c r="I77" s="498"/>
      <c r="J77" s="420"/>
      <c r="K77" s="420"/>
      <c r="L77" s="387"/>
      <c r="M77" s="387"/>
      <c r="N77" s="387"/>
      <c r="O77" s="387"/>
      <c r="P77" s="387"/>
      <c r="Q77" s="387"/>
      <c r="R77" s="387"/>
      <c r="S77" s="387"/>
      <c r="T77" s="387"/>
      <c r="U77" s="387"/>
      <c r="V77" s="387"/>
      <c r="W77" s="387"/>
      <c r="X77" s="387"/>
      <c r="Y77" s="387"/>
      <c r="Z77" s="387"/>
      <c r="AA77" s="387"/>
      <c r="AB77" s="387"/>
      <c r="AC77" s="387"/>
      <c r="AD77" s="387"/>
      <c r="AE77" s="387"/>
      <c r="AF77" s="387"/>
      <c r="AG77" s="387"/>
      <c r="AH77" s="387"/>
    </row>
    <row r="78" spans="1:34">
      <c r="A78" s="496"/>
      <c r="B78" s="499"/>
      <c r="C78" s="499"/>
      <c r="D78" s="499"/>
      <c r="E78" s="499"/>
      <c r="F78" s="499"/>
      <c r="G78" s="496"/>
      <c r="H78" s="497"/>
      <c r="I78" s="498"/>
      <c r="J78" s="420"/>
      <c r="K78" s="420"/>
      <c r="L78" s="387"/>
      <c r="M78" s="387"/>
      <c r="N78" s="387"/>
      <c r="O78" s="387"/>
      <c r="P78" s="387"/>
      <c r="Q78" s="387"/>
      <c r="R78" s="387"/>
      <c r="S78" s="387"/>
      <c r="T78" s="387"/>
      <c r="U78" s="387"/>
      <c r="V78" s="387"/>
      <c r="W78" s="387"/>
      <c r="X78" s="387"/>
      <c r="Y78" s="387"/>
      <c r="Z78" s="387"/>
      <c r="AA78" s="387"/>
      <c r="AB78" s="387"/>
      <c r="AC78" s="387"/>
      <c r="AD78" s="387"/>
      <c r="AE78" s="387"/>
      <c r="AF78" s="387"/>
      <c r="AG78" s="387"/>
      <c r="AH78" s="387"/>
    </row>
    <row r="79" spans="1:34">
      <c r="A79" s="496"/>
      <c r="B79" s="499"/>
      <c r="C79" s="499"/>
      <c r="D79" s="499"/>
      <c r="E79" s="499"/>
      <c r="F79" s="499"/>
      <c r="G79" s="496"/>
      <c r="H79" s="497"/>
      <c r="I79" s="498"/>
      <c r="J79" s="420"/>
      <c r="K79" s="420"/>
      <c r="L79" s="387"/>
      <c r="M79" s="387"/>
      <c r="N79" s="387"/>
      <c r="O79" s="387"/>
      <c r="P79" s="387"/>
      <c r="Q79" s="387"/>
      <c r="R79" s="387"/>
      <c r="S79" s="387"/>
      <c r="T79" s="387"/>
      <c r="U79" s="387"/>
      <c r="V79" s="387"/>
      <c r="W79" s="387"/>
      <c r="X79" s="387"/>
      <c r="Y79" s="387"/>
      <c r="Z79" s="387"/>
      <c r="AA79" s="387"/>
      <c r="AB79" s="387"/>
      <c r="AC79" s="387"/>
      <c r="AD79" s="387"/>
      <c r="AE79" s="387"/>
      <c r="AF79" s="387"/>
      <c r="AG79" s="387"/>
      <c r="AH79" s="387"/>
    </row>
    <row r="80" spans="1:34">
      <c r="A80" s="496"/>
      <c r="B80" s="499"/>
      <c r="C80" s="499"/>
      <c r="D80" s="499"/>
      <c r="E80" s="499"/>
      <c r="F80" s="499"/>
      <c r="G80" s="496"/>
      <c r="H80" s="497"/>
      <c r="I80" s="498"/>
      <c r="J80" s="420"/>
      <c r="K80" s="420"/>
      <c r="L80" s="387"/>
      <c r="M80" s="387"/>
      <c r="N80" s="387"/>
      <c r="O80" s="387"/>
      <c r="P80" s="387"/>
      <c r="Q80" s="387"/>
      <c r="R80" s="387"/>
      <c r="S80" s="387"/>
      <c r="T80" s="387"/>
      <c r="U80" s="387"/>
      <c r="V80" s="387"/>
      <c r="W80" s="387"/>
      <c r="X80" s="387"/>
      <c r="Y80" s="387"/>
      <c r="Z80" s="387"/>
      <c r="AA80" s="387"/>
      <c r="AB80" s="387"/>
      <c r="AC80" s="387"/>
      <c r="AD80" s="387"/>
      <c r="AE80" s="387"/>
      <c r="AF80" s="387"/>
      <c r="AG80" s="387"/>
      <c r="AH80" s="387"/>
    </row>
    <row r="81" spans="1:34">
      <c r="A81" s="496"/>
      <c r="B81" s="499"/>
      <c r="C81" s="499"/>
      <c r="D81" s="499"/>
      <c r="E81" s="499"/>
      <c r="F81" s="499"/>
      <c r="G81" s="496"/>
      <c r="H81" s="497"/>
      <c r="I81" s="498"/>
      <c r="J81" s="420"/>
      <c r="K81" s="420"/>
      <c r="L81" s="387"/>
      <c r="M81" s="387"/>
      <c r="N81" s="387"/>
      <c r="O81" s="387"/>
      <c r="P81" s="387"/>
      <c r="Q81" s="387"/>
      <c r="R81" s="387"/>
      <c r="S81" s="387"/>
      <c r="T81" s="387"/>
      <c r="U81" s="387"/>
      <c r="V81" s="387"/>
      <c r="W81" s="387"/>
      <c r="X81" s="387"/>
      <c r="Y81" s="387"/>
      <c r="Z81" s="387"/>
      <c r="AA81" s="387"/>
      <c r="AB81" s="387"/>
      <c r="AC81" s="387"/>
      <c r="AD81" s="387"/>
      <c r="AE81" s="387"/>
      <c r="AF81" s="387"/>
      <c r="AG81" s="387"/>
      <c r="AH81" s="387"/>
    </row>
    <row r="82" spans="1:34">
      <c r="A82" s="420"/>
      <c r="B82" s="494"/>
      <c r="C82" s="494"/>
      <c r="D82" s="494"/>
      <c r="E82" s="494"/>
      <c r="F82" s="494"/>
      <c r="G82" s="500"/>
      <c r="H82" s="420"/>
      <c r="I82" s="420"/>
      <c r="J82" s="420"/>
      <c r="K82" s="420"/>
      <c r="L82" s="387"/>
      <c r="M82" s="387"/>
      <c r="N82" s="387"/>
      <c r="O82" s="387"/>
      <c r="P82" s="387"/>
      <c r="Q82" s="387"/>
      <c r="R82" s="387"/>
      <c r="S82" s="387"/>
      <c r="T82" s="387"/>
      <c r="U82" s="387"/>
      <c r="V82" s="387"/>
      <c r="W82" s="387"/>
      <c r="X82" s="387"/>
      <c r="Y82" s="387"/>
      <c r="Z82" s="387"/>
      <c r="AA82" s="387"/>
      <c r="AB82" s="387"/>
      <c r="AC82" s="387"/>
      <c r="AD82" s="387"/>
      <c r="AE82" s="387"/>
      <c r="AF82" s="387"/>
      <c r="AG82" s="387"/>
      <c r="AH82" s="387"/>
    </row>
    <row r="83" spans="1:34">
      <c r="A83" s="501"/>
      <c r="B83" s="501"/>
      <c r="C83" s="501"/>
      <c r="D83" s="501"/>
      <c r="E83" s="501"/>
      <c r="F83" s="501"/>
      <c r="G83" s="501"/>
      <c r="H83" s="501"/>
      <c r="I83" s="501"/>
      <c r="J83" s="420"/>
      <c r="K83" s="420"/>
      <c r="L83" s="387"/>
      <c r="M83" s="387"/>
      <c r="N83" s="387"/>
      <c r="O83" s="387"/>
      <c r="P83" s="387"/>
      <c r="Q83" s="387"/>
      <c r="R83" s="387"/>
      <c r="S83" s="387"/>
      <c r="T83" s="387"/>
      <c r="U83" s="387"/>
      <c r="V83" s="387"/>
      <c r="W83" s="387"/>
      <c r="X83" s="387"/>
      <c r="Y83" s="387"/>
      <c r="Z83" s="387"/>
      <c r="AA83" s="387"/>
      <c r="AB83" s="387"/>
      <c r="AC83" s="387"/>
      <c r="AD83" s="387"/>
      <c r="AE83" s="387"/>
      <c r="AF83" s="387"/>
      <c r="AG83" s="387"/>
      <c r="AH83" s="387"/>
    </row>
    <row r="84" spans="1:34">
      <c r="A84" s="420"/>
      <c r="B84" s="494"/>
      <c r="C84" s="494"/>
      <c r="D84" s="494"/>
      <c r="E84" s="494"/>
      <c r="F84" s="494"/>
      <c r="G84" s="500"/>
      <c r="H84" s="420"/>
      <c r="I84" s="420"/>
      <c r="J84" s="420"/>
      <c r="K84" s="420"/>
      <c r="L84" s="387"/>
      <c r="M84" s="387"/>
      <c r="N84" s="387"/>
      <c r="O84" s="387"/>
      <c r="P84" s="387"/>
      <c r="Q84" s="387"/>
      <c r="R84" s="387"/>
      <c r="S84" s="387"/>
      <c r="T84" s="387"/>
      <c r="U84" s="387"/>
      <c r="V84" s="387"/>
      <c r="W84" s="387"/>
      <c r="X84" s="387"/>
      <c r="Y84" s="387"/>
      <c r="Z84" s="387"/>
      <c r="AA84" s="387"/>
      <c r="AB84" s="387"/>
      <c r="AC84" s="387"/>
      <c r="AD84" s="387"/>
      <c r="AE84" s="387"/>
      <c r="AF84" s="387"/>
      <c r="AG84" s="387"/>
      <c r="AH84" s="387"/>
    </row>
    <row r="85" spans="1:34">
      <c r="A85" s="494"/>
      <c r="B85" s="420"/>
      <c r="C85" s="420"/>
      <c r="D85" s="420"/>
      <c r="E85" s="420"/>
      <c r="F85" s="420"/>
      <c r="G85" s="420"/>
      <c r="H85" s="420"/>
      <c r="I85" s="420"/>
      <c r="J85" s="420"/>
      <c r="K85" s="420"/>
      <c r="L85" s="387"/>
      <c r="M85" s="387"/>
      <c r="N85" s="387"/>
      <c r="O85" s="387"/>
      <c r="P85" s="387"/>
      <c r="Q85" s="387"/>
      <c r="R85" s="387"/>
      <c r="S85" s="387"/>
      <c r="T85" s="387"/>
      <c r="U85" s="387"/>
      <c r="V85" s="387"/>
      <c r="W85" s="387"/>
      <c r="X85" s="387"/>
      <c r="Y85" s="387"/>
      <c r="Z85" s="387"/>
      <c r="AA85" s="387"/>
      <c r="AB85" s="387"/>
      <c r="AC85" s="387"/>
      <c r="AD85" s="387"/>
      <c r="AE85" s="387"/>
      <c r="AF85" s="387"/>
      <c r="AG85" s="387"/>
      <c r="AH85" s="387"/>
    </row>
    <row r="86" spans="1:34">
      <c r="A86" s="1373"/>
      <c r="B86" s="1373"/>
      <c r="C86" s="782"/>
      <c r="D86" s="782"/>
      <c r="E86" s="782"/>
      <c r="F86" s="782"/>
      <c r="G86" s="495"/>
      <c r="H86" s="495"/>
      <c r="I86" s="420"/>
      <c r="J86" s="420"/>
      <c r="K86" s="420"/>
      <c r="L86" s="387"/>
      <c r="M86" s="387"/>
      <c r="N86" s="387"/>
      <c r="O86" s="387"/>
      <c r="P86" s="387"/>
      <c r="Q86" s="387"/>
      <c r="R86" s="387"/>
      <c r="S86" s="387"/>
      <c r="T86" s="387"/>
      <c r="U86" s="387"/>
      <c r="V86" s="387"/>
      <c r="W86" s="387"/>
      <c r="X86" s="387"/>
      <c r="Y86" s="387"/>
      <c r="Z86" s="387"/>
      <c r="AA86" s="387"/>
      <c r="AB86" s="387"/>
      <c r="AC86" s="387"/>
      <c r="AD86" s="387"/>
      <c r="AE86" s="387"/>
      <c r="AF86" s="387"/>
      <c r="AG86" s="387"/>
      <c r="AH86" s="387"/>
    </row>
    <row r="87" spans="1:34">
      <c r="A87" s="1373"/>
      <c r="B87" s="1373"/>
      <c r="C87" s="782"/>
      <c r="D87" s="782"/>
      <c r="E87" s="782"/>
      <c r="F87" s="782"/>
      <c r="G87" s="495"/>
      <c r="H87" s="495"/>
      <c r="I87" s="420"/>
      <c r="J87" s="420"/>
      <c r="K87" s="420"/>
      <c r="L87" s="387"/>
      <c r="M87" s="387"/>
      <c r="N87" s="387"/>
      <c r="O87" s="387"/>
      <c r="P87" s="387"/>
      <c r="Q87" s="387"/>
      <c r="R87" s="387"/>
      <c r="S87" s="387"/>
      <c r="T87" s="387"/>
      <c r="U87" s="387"/>
      <c r="V87" s="387"/>
      <c r="W87" s="387"/>
      <c r="X87" s="387"/>
      <c r="Y87" s="387"/>
      <c r="Z87" s="387"/>
      <c r="AA87" s="387"/>
      <c r="AB87" s="387"/>
      <c r="AC87" s="387"/>
      <c r="AD87" s="387"/>
      <c r="AE87" s="387"/>
      <c r="AF87" s="387"/>
      <c r="AG87" s="387"/>
      <c r="AH87" s="387"/>
    </row>
    <row r="88" spans="1:34" s="390" customFormat="1">
      <c r="A88" s="502"/>
      <c r="B88" s="502"/>
      <c r="C88" s="502"/>
      <c r="D88" s="502"/>
      <c r="E88" s="502"/>
      <c r="F88" s="502"/>
      <c r="G88" s="503"/>
      <c r="H88" s="502"/>
      <c r="I88" s="502"/>
      <c r="J88" s="502"/>
      <c r="K88" s="502"/>
      <c r="L88" s="504"/>
      <c r="M88" s="504"/>
      <c r="N88" s="504"/>
      <c r="O88" s="504"/>
      <c r="P88" s="504"/>
      <c r="Q88" s="504"/>
      <c r="R88" s="504"/>
      <c r="S88" s="504"/>
      <c r="T88" s="504"/>
      <c r="U88" s="504"/>
      <c r="V88" s="504"/>
      <c r="W88" s="504"/>
      <c r="X88" s="504"/>
      <c r="Y88" s="504"/>
      <c r="Z88" s="504"/>
      <c r="AA88" s="504"/>
      <c r="AB88" s="504"/>
      <c r="AC88" s="504"/>
      <c r="AD88" s="504"/>
      <c r="AE88" s="504"/>
      <c r="AF88" s="504"/>
      <c r="AG88" s="504"/>
      <c r="AH88" s="504"/>
    </row>
    <row r="89" spans="1:34" s="390" customFormat="1">
      <c r="A89" s="502"/>
      <c r="B89" s="502"/>
      <c r="C89" s="502"/>
      <c r="D89" s="502"/>
      <c r="E89" s="502"/>
      <c r="F89" s="502"/>
      <c r="G89" s="503"/>
      <c r="H89" s="502"/>
      <c r="I89" s="502"/>
      <c r="J89" s="502"/>
      <c r="K89" s="502"/>
      <c r="L89" s="504"/>
      <c r="M89" s="504"/>
      <c r="N89" s="504"/>
      <c r="O89" s="504"/>
      <c r="P89" s="504"/>
      <c r="Q89" s="504"/>
      <c r="R89" s="504"/>
      <c r="S89" s="504"/>
      <c r="T89" s="504"/>
      <c r="U89" s="504"/>
      <c r="V89" s="504"/>
      <c r="W89" s="504"/>
      <c r="X89" s="504"/>
      <c r="Y89" s="504"/>
      <c r="Z89" s="504"/>
      <c r="AA89" s="504"/>
      <c r="AB89" s="504"/>
      <c r="AC89" s="504"/>
      <c r="AD89" s="504"/>
      <c r="AE89" s="504"/>
      <c r="AF89" s="504"/>
      <c r="AG89" s="504"/>
      <c r="AH89" s="504"/>
    </row>
    <row r="90" spans="1:34" s="390" customFormat="1">
      <c r="A90" s="502"/>
      <c r="B90" s="502"/>
      <c r="C90" s="502"/>
      <c r="D90" s="502"/>
      <c r="E90" s="502"/>
      <c r="F90" s="502"/>
      <c r="G90" s="503"/>
      <c r="H90" s="502"/>
      <c r="I90" s="502"/>
      <c r="J90" s="502"/>
      <c r="K90" s="502"/>
      <c r="L90" s="504"/>
      <c r="M90" s="504"/>
      <c r="N90" s="504"/>
      <c r="O90" s="504"/>
      <c r="P90" s="504"/>
      <c r="Q90" s="504"/>
      <c r="R90" s="504"/>
      <c r="S90" s="504"/>
      <c r="T90" s="504"/>
      <c r="U90" s="504"/>
      <c r="V90" s="504"/>
      <c r="W90" s="504"/>
      <c r="X90" s="504"/>
      <c r="Y90" s="504"/>
      <c r="Z90" s="504"/>
      <c r="AA90" s="504"/>
      <c r="AB90" s="504"/>
      <c r="AC90" s="504"/>
      <c r="AD90" s="504"/>
      <c r="AE90" s="504"/>
      <c r="AF90" s="504"/>
      <c r="AG90" s="504"/>
      <c r="AH90" s="504"/>
    </row>
    <row r="91" spans="1:34" s="390" customFormat="1">
      <c r="A91" s="502"/>
      <c r="B91" s="502"/>
      <c r="C91" s="502"/>
      <c r="D91" s="502"/>
      <c r="E91" s="502"/>
      <c r="F91" s="502"/>
      <c r="G91" s="503"/>
      <c r="H91" s="502"/>
      <c r="I91" s="502"/>
      <c r="J91" s="502"/>
      <c r="K91" s="502"/>
      <c r="L91" s="504"/>
      <c r="M91" s="504"/>
      <c r="N91" s="504"/>
      <c r="O91" s="504"/>
      <c r="P91" s="504"/>
      <c r="Q91" s="504"/>
      <c r="R91" s="504"/>
      <c r="S91" s="504"/>
      <c r="T91" s="504"/>
      <c r="U91" s="504"/>
      <c r="V91" s="504"/>
      <c r="W91" s="504"/>
      <c r="X91" s="504"/>
      <c r="Y91" s="504"/>
      <c r="Z91" s="504"/>
      <c r="AA91" s="504"/>
      <c r="AB91" s="504"/>
      <c r="AC91" s="504"/>
      <c r="AD91" s="504"/>
      <c r="AE91" s="504"/>
      <c r="AF91" s="504"/>
      <c r="AG91" s="504"/>
      <c r="AH91" s="504"/>
    </row>
    <row r="92" spans="1:34" s="390" customFormat="1">
      <c r="A92" s="502"/>
      <c r="B92" s="502"/>
      <c r="C92" s="502"/>
      <c r="D92" s="502"/>
      <c r="E92" s="502"/>
      <c r="F92" s="502"/>
      <c r="G92" s="503"/>
      <c r="H92" s="502"/>
      <c r="I92" s="502"/>
      <c r="J92" s="502"/>
      <c r="K92" s="502"/>
      <c r="L92" s="504"/>
      <c r="M92" s="504"/>
      <c r="N92" s="504"/>
      <c r="O92" s="504"/>
      <c r="P92" s="504"/>
      <c r="Q92" s="504"/>
      <c r="R92" s="504"/>
      <c r="S92" s="504"/>
      <c r="T92" s="504"/>
      <c r="U92" s="504"/>
      <c r="V92" s="504"/>
      <c r="W92" s="504"/>
      <c r="X92" s="504"/>
      <c r="Y92" s="504"/>
      <c r="Z92" s="504"/>
      <c r="AA92" s="504"/>
      <c r="AB92" s="504"/>
      <c r="AC92" s="504"/>
      <c r="AD92" s="504"/>
      <c r="AE92" s="504"/>
      <c r="AF92" s="504"/>
      <c r="AG92" s="504"/>
      <c r="AH92" s="504"/>
    </row>
    <row r="93" spans="1:34" s="390" customFormat="1">
      <c r="A93" s="502"/>
      <c r="B93" s="502"/>
      <c r="C93" s="502"/>
      <c r="D93" s="502"/>
      <c r="E93" s="502"/>
      <c r="F93" s="502"/>
      <c r="G93" s="503"/>
      <c r="H93" s="502"/>
      <c r="I93" s="502"/>
      <c r="J93" s="502"/>
      <c r="K93" s="502"/>
      <c r="L93" s="504"/>
      <c r="M93" s="504"/>
      <c r="N93" s="504"/>
      <c r="O93" s="504"/>
      <c r="P93" s="504"/>
      <c r="Q93" s="504"/>
      <c r="R93" s="504"/>
      <c r="S93" s="504"/>
      <c r="T93" s="504"/>
      <c r="U93" s="504"/>
      <c r="V93" s="504"/>
      <c r="W93" s="504"/>
      <c r="X93" s="504"/>
      <c r="Y93" s="504"/>
      <c r="Z93" s="504"/>
      <c r="AA93" s="504"/>
      <c r="AB93" s="504"/>
      <c r="AC93" s="504"/>
      <c r="AD93" s="504"/>
      <c r="AE93" s="504"/>
      <c r="AF93" s="504"/>
      <c r="AG93" s="504"/>
      <c r="AH93" s="504"/>
    </row>
    <row r="94" spans="1:34" s="390" customFormat="1">
      <c r="A94" s="502"/>
      <c r="B94" s="502"/>
      <c r="C94" s="502"/>
      <c r="D94" s="502"/>
      <c r="E94" s="502"/>
      <c r="F94" s="502"/>
      <c r="G94" s="503"/>
      <c r="H94" s="502"/>
      <c r="I94" s="502"/>
      <c r="J94" s="502"/>
      <c r="K94" s="502"/>
      <c r="L94" s="504"/>
      <c r="M94" s="504"/>
      <c r="N94" s="504"/>
      <c r="O94" s="504"/>
      <c r="P94" s="504"/>
      <c r="Q94" s="504"/>
      <c r="R94" s="504"/>
      <c r="S94" s="504"/>
      <c r="T94" s="504"/>
      <c r="U94" s="504"/>
      <c r="V94" s="504"/>
      <c r="W94" s="504"/>
      <c r="X94" s="504"/>
      <c r="Y94" s="504"/>
      <c r="Z94" s="504"/>
      <c r="AA94" s="504"/>
      <c r="AB94" s="504"/>
      <c r="AC94" s="504"/>
      <c r="AD94" s="504"/>
      <c r="AE94" s="504"/>
      <c r="AF94" s="504"/>
      <c r="AG94" s="504"/>
      <c r="AH94" s="504"/>
    </row>
    <row r="95" spans="1:34" s="390" customFormat="1">
      <c r="A95" s="502"/>
      <c r="B95" s="502"/>
      <c r="C95" s="502"/>
      <c r="D95" s="502"/>
      <c r="E95" s="502"/>
      <c r="F95" s="502"/>
      <c r="G95" s="503"/>
      <c r="H95" s="502"/>
      <c r="I95" s="502"/>
      <c r="J95" s="502"/>
      <c r="K95" s="502"/>
      <c r="L95" s="504"/>
      <c r="M95" s="504"/>
      <c r="N95" s="504"/>
      <c r="O95" s="504"/>
      <c r="P95" s="504"/>
      <c r="Q95" s="504"/>
      <c r="R95" s="504"/>
      <c r="S95" s="504"/>
      <c r="T95" s="504"/>
      <c r="U95" s="504"/>
      <c r="V95" s="504"/>
      <c r="W95" s="504"/>
      <c r="X95" s="504"/>
      <c r="Y95" s="504"/>
      <c r="Z95" s="504"/>
      <c r="AA95" s="504"/>
      <c r="AB95" s="504"/>
      <c r="AC95" s="504"/>
      <c r="AD95" s="504"/>
      <c r="AE95" s="504"/>
      <c r="AF95" s="504"/>
      <c r="AG95" s="504"/>
      <c r="AH95" s="504"/>
    </row>
    <row r="96" spans="1:34" s="390" customFormat="1">
      <c r="A96" s="505"/>
      <c r="B96" s="502"/>
      <c r="C96" s="502"/>
      <c r="D96" s="502"/>
      <c r="E96" s="502"/>
      <c r="F96" s="502"/>
      <c r="G96" s="503"/>
      <c r="H96" s="502"/>
      <c r="I96" s="502"/>
      <c r="J96" s="502"/>
      <c r="K96" s="502"/>
      <c r="L96" s="504"/>
      <c r="M96" s="504"/>
      <c r="N96" s="504"/>
      <c r="O96" s="504"/>
      <c r="P96" s="504"/>
      <c r="Q96" s="504"/>
      <c r="R96" s="504"/>
      <c r="S96" s="504"/>
      <c r="T96" s="504"/>
      <c r="U96" s="504"/>
      <c r="V96" s="504"/>
      <c r="W96" s="504"/>
      <c r="X96" s="504"/>
      <c r="Y96" s="504"/>
      <c r="Z96" s="504"/>
      <c r="AA96" s="504"/>
      <c r="AB96" s="504"/>
      <c r="AC96" s="504"/>
      <c r="AD96" s="504"/>
      <c r="AE96" s="504"/>
      <c r="AF96" s="504"/>
      <c r="AG96" s="504"/>
      <c r="AH96" s="504"/>
    </row>
    <row r="97" spans="1:34" s="390" customFormat="1">
      <c r="A97" s="502"/>
      <c r="B97" s="502"/>
      <c r="C97" s="502"/>
      <c r="D97" s="502"/>
      <c r="E97" s="502"/>
      <c r="F97" s="502"/>
      <c r="G97" s="503"/>
      <c r="H97" s="502"/>
      <c r="I97" s="502"/>
      <c r="J97" s="502"/>
      <c r="K97" s="502"/>
      <c r="L97" s="504"/>
      <c r="M97" s="504"/>
      <c r="N97" s="504"/>
      <c r="O97" s="504"/>
      <c r="P97" s="504"/>
      <c r="Q97" s="504"/>
      <c r="R97" s="504"/>
      <c r="S97" s="504"/>
      <c r="T97" s="504"/>
      <c r="U97" s="504"/>
      <c r="V97" s="504"/>
      <c r="W97" s="504"/>
      <c r="X97" s="504"/>
      <c r="Y97" s="504"/>
      <c r="Z97" s="504"/>
      <c r="AA97" s="504"/>
      <c r="AB97" s="504"/>
      <c r="AC97" s="504"/>
      <c r="AD97" s="504"/>
      <c r="AE97" s="504"/>
      <c r="AF97" s="504"/>
      <c r="AG97" s="504"/>
      <c r="AH97" s="504"/>
    </row>
    <row r="98" spans="1:34">
      <c r="A98" s="420"/>
      <c r="B98" s="420"/>
      <c r="C98" s="420"/>
      <c r="D98" s="420"/>
      <c r="E98" s="420"/>
      <c r="F98" s="420"/>
      <c r="G98" s="503"/>
      <c r="H98" s="502"/>
      <c r="I98" s="420"/>
      <c r="J98" s="420"/>
      <c r="K98" s="420"/>
      <c r="L98" s="387"/>
      <c r="M98" s="387"/>
      <c r="N98" s="387"/>
      <c r="O98" s="387"/>
      <c r="P98" s="387"/>
      <c r="Q98" s="387"/>
      <c r="R98" s="387"/>
      <c r="S98" s="387"/>
      <c r="T98" s="387"/>
      <c r="U98" s="387"/>
      <c r="V98" s="387"/>
      <c r="W98" s="387"/>
      <c r="X98" s="387"/>
      <c r="Y98" s="387"/>
      <c r="Z98" s="387"/>
      <c r="AA98" s="387"/>
      <c r="AB98" s="387"/>
      <c r="AC98" s="387"/>
      <c r="AD98" s="387"/>
      <c r="AE98" s="387"/>
      <c r="AF98" s="387"/>
      <c r="AG98" s="387"/>
      <c r="AH98" s="387"/>
    </row>
    <row r="99" spans="1:34">
      <c r="A99" s="420"/>
      <c r="B99" s="420"/>
      <c r="C99" s="420"/>
      <c r="D99" s="420"/>
      <c r="E99" s="420"/>
      <c r="F99" s="420"/>
      <c r="G99" s="420"/>
      <c r="H99" s="420"/>
      <c r="I99" s="420"/>
      <c r="J99" s="420"/>
      <c r="K99" s="420"/>
      <c r="L99" s="387"/>
      <c r="M99" s="387"/>
      <c r="N99" s="387"/>
      <c r="O99" s="387"/>
      <c r="P99" s="387"/>
      <c r="Q99" s="387"/>
      <c r="R99" s="387"/>
      <c r="S99" s="387"/>
      <c r="T99" s="387"/>
      <c r="U99" s="387"/>
      <c r="V99" s="387"/>
      <c r="W99" s="387"/>
      <c r="X99" s="387"/>
      <c r="Y99" s="387"/>
      <c r="Z99" s="387"/>
      <c r="AA99" s="387"/>
      <c r="AB99" s="387"/>
      <c r="AC99" s="387"/>
      <c r="AD99" s="387"/>
      <c r="AE99" s="387"/>
      <c r="AF99" s="387"/>
      <c r="AG99" s="387"/>
      <c r="AH99" s="387"/>
    </row>
    <row r="100" spans="1:34">
      <c r="A100" s="494"/>
      <c r="B100" s="420"/>
      <c r="C100" s="420"/>
      <c r="D100" s="420"/>
      <c r="E100" s="420"/>
      <c r="F100" s="420"/>
      <c r="G100" s="420"/>
      <c r="H100" s="420"/>
      <c r="I100" s="420"/>
      <c r="J100" s="420"/>
      <c r="K100" s="420"/>
      <c r="L100" s="387"/>
      <c r="M100" s="387"/>
      <c r="N100" s="387"/>
      <c r="O100" s="387"/>
      <c r="P100" s="387"/>
      <c r="Q100" s="387"/>
      <c r="R100" s="387"/>
      <c r="S100" s="387"/>
      <c r="T100" s="387"/>
      <c r="U100" s="387"/>
      <c r="V100" s="387"/>
      <c r="W100" s="387"/>
      <c r="X100" s="387"/>
      <c r="Y100" s="387"/>
      <c r="Z100" s="387"/>
      <c r="AA100" s="387"/>
      <c r="AB100" s="387"/>
      <c r="AC100" s="387"/>
      <c r="AD100" s="387"/>
      <c r="AE100" s="387"/>
      <c r="AF100" s="387"/>
      <c r="AG100" s="387"/>
      <c r="AH100" s="387"/>
    </row>
    <row r="101" spans="1:34">
      <c r="A101" s="1373"/>
      <c r="B101" s="1373"/>
      <c r="C101" s="782"/>
      <c r="D101" s="782"/>
      <c r="E101" s="782"/>
      <c r="F101" s="782"/>
      <c r="G101" s="495"/>
      <c r="H101" s="495"/>
      <c r="I101" s="495"/>
      <c r="J101" s="420"/>
      <c r="K101" s="420"/>
      <c r="L101" s="387"/>
      <c r="M101" s="387"/>
      <c r="N101" s="387"/>
      <c r="O101" s="387"/>
      <c r="P101" s="387"/>
      <c r="Q101" s="387"/>
      <c r="R101" s="387"/>
      <c r="S101" s="387"/>
      <c r="T101" s="387"/>
      <c r="U101" s="387"/>
      <c r="V101" s="387"/>
      <c r="W101" s="387"/>
      <c r="X101" s="387"/>
      <c r="Y101" s="387"/>
      <c r="Z101" s="387"/>
      <c r="AA101" s="387"/>
      <c r="AB101" s="387"/>
      <c r="AC101" s="387"/>
      <c r="AD101" s="387"/>
      <c r="AE101" s="387"/>
      <c r="AF101" s="387"/>
      <c r="AG101" s="387"/>
      <c r="AH101" s="387"/>
    </row>
    <row r="102" spans="1:34" s="390" customFormat="1">
      <c r="A102" s="502"/>
      <c r="B102" s="502"/>
      <c r="C102" s="502"/>
      <c r="D102" s="502"/>
      <c r="E102" s="502"/>
      <c r="F102" s="502"/>
      <c r="G102" s="506"/>
      <c r="H102" s="506"/>
      <c r="I102" s="506"/>
      <c r="J102" s="502"/>
      <c r="K102" s="502"/>
      <c r="L102" s="504"/>
      <c r="M102" s="504"/>
      <c r="N102" s="504"/>
      <c r="O102" s="504"/>
      <c r="P102" s="504"/>
      <c r="Q102" s="504"/>
      <c r="R102" s="504"/>
      <c r="S102" s="504"/>
      <c r="T102" s="504"/>
      <c r="U102" s="504"/>
      <c r="V102" s="504"/>
      <c r="W102" s="504"/>
      <c r="X102" s="504"/>
      <c r="Y102" s="504"/>
      <c r="Z102" s="504"/>
      <c r="AA102" s="504"/>
      <c r="AB102" s="504"/>
      <c r="AC102" s="504"/>
      <c r="AD102" s="504"/>
      <c r="AE102" s="504"/>
      <c r="AF102" s="504"/>
      <c r="AG102" s="504"/>
      <c r="AH102" s="504"/>
    </row>
    <row r="103" spans="1:34" s="390" customFormat="1">
      <c r="A103" s="502"/>
      <c r="B103" s="502"/>
      <c r="C103" s="502"/>
      <c r="D103" s="502"/>
      <c r="E103" s="502"/>
      <c r="F103" s="502"/>
      <c r="G103" s="506"/>
      <c r="H103" s="506"/>
      <c r="I103" s="506"/>
      <c r="J103" s="502"/>
      <c r="K103" s="502"/>
      <c r="L103" s="504"/>
      <c r="M103" s="504"/>
      <c r="N103" s="504"/>
      <c r="O103" s="504"/>
      <c r="P103" s="504"/>
      <c r="Q103" s="504"/>
      <c r="R103" s="504"/>
      <c r="S103" s="504"/>
      <c r="T103" s="504"/>
      <c r="U103" s="504"/>
      <c r="V103" s="504"/>
      <c r="W103" s="504"/>
      <c r="X103" s="504"/>
      <c r="Y103" s="504"/>
      <c r="Z103" s="504"/>
      <c r="AA103" s="504"/>
      <c r="AB103" s="504"/>
      <c r="AC103" s="504"/>
      <c r="AD103" s="504"/>
      <c r="AE103" s="504"/>
      <c r="AF103" s="504"/>
      <c r="AG103" s="504"/>
      <c r="AH103" s="504"/>
    </row>
    <row r="104" spans="1:34" s="390" customFormat="1">
      <c r="A104" s="502"/>
      <c r="B104" s="502"/>
      <c r="C104" s="502"/>
      <c r="D104" s="502"/>
      <c r="E104" s="502"/>
      <c r="F104" s="502"/>
      <c r="G104" s="506"/>
      <c r="H104" s="506"/>
      <c r="I104" s="506"/>
      <c r="J104" s="502"/>
      <c r="K104" s="502"/>
      <c r="L104" s="504"/>
      <c r="M104" s="504"/>
      <c r="N104" s="504"/>
      <c r="O104" s="504"/>
      <c r="P104" s="504"/>
      <c r="Q104" s="504"/>
      <c r="R104" s="504"/>
      <c r="S104" s="504"/>
      <c r="T104" s="504"/>
      <c r="U104" s="504"/>
      <c r="V104" s="504"/>
      <c r="W104" s="504"/>
      <c r="X104" s="504"/>
      <c r="Y104" s="504"/>
      <c r="Z104" s="504"/>
      <c r="AA104" s="504"/>
      <c r="AB104" s="504"/>
      <c r="AC104" s="504"/>
      <c r="AD104" s="504"/>
      <c r="AE104" s="504"/>
      <c r="AF104" s="504"/>
      <c r="AG104" s="504"/>
      <c r="AH104" s="504"/>
    </row>
    <row r="105" spans="1:34" s="390" customFormat="1">
      <c r="A105" s="502"/>
      <c r="B105" s="502"/>
      <c r="C105" s="502"/>
      <c r="D105" s="502"/>
      <c r="E105" s="502"/>
      <c r="F105" s="502"/>
      <c r="G105" s="506"/>
      <c r="H105" s="506"/>
      <c r="I105" s="506"/>
      <c r="J105" s="502"/>
      <c r="K105" s="502"/>
      <c r="L105" s="504"/>
      <c r="M105" s="504"/>
      <c r="N105" s="504"/>
      <c r="O105" s="504"/>
      <c r="P105" s="504"/>
      <c r="Q105" s="504"/>
      <c r="R105" s="504"/>
      <c r="S105" s="504"/>
      <c r="T105" s="504"/>
      <c r="U105" s="504"/>
      <c r="V105" s="504"/>
      <c r="W105" s="504"/>
      <c r="X105" s="504"/>
      <c r="Y105" s="504"/>
      <c r="Z105" s="504"/>
      <c r="AA105" s="504"/>
      <c r="AB105" s="504"/>
      <c r="AC105" s="504"/>
      <c r="AD105" s="504"/>
      <c r="AE105" s="504"/>
      <c r="AF105" s="504"/>
      <c r="AG105" s="504"/>
      <c r="AH105" s="504"/>
    </row>
    <row r="106" spans="1:34" s="390" customFormat="1">
      <c r="A106" s="502"/>
      <c r="B106" s="502"/>
      <c r="C106" s="502"/>
      <c r="D106" s="502"/>
      <c r="E106" s="502"/>
      <c r="F106" s="502"/>
      <c r="G106" s="506"/>
      <c r="H106" s="506"/>
      <c r="I106" s="506"/>
      <c r="J106" s="502"/>
      <c r="K106" s="502"/>
      <c r="L106" s="504"/>
      <c r="M106" s="504"/>
      <c r="N106" s="504"/>
      <c r="O106" s="504"/>
      <c r="P106" s="504"/>
      <c r="Q106" s="504"/>
      <c r="R106" s="504"/>
      <c r="S106" s="504"/>
      <c r="T106" s="504"/>
      <c r="U106" s="504"/>
      <c r="V106" s="504"/>
      <c r="W106" s="504"/>
      <c r="X106" s="504"/>
      <c r="Y106" s="504"/>
      <c r="Z106" s="504"/>
      <c r="AA106" s="504"/>
      <c r="AB106" s="504"/>
      <c r="AC106" s="504"/>
      <c r="AD106" s="504"/>
      <c r="AE106" s="504"/>
      <c r="AF106" s="504"/>
      <c r="AG106" s="504"/>
      <c r="AH106" s="504"/>
    </row>
    <row r="107" spans="1:34" s="390" customFormat="1">
      <c r="A107" s="502"/>
      <c r="B107" s="502"/>
      <c r="C107" s="502"/>
      <c r="D107" s="502"/>
      <c r="E107" s="502"/>
      <c r="F107" s="502"/>
      <c r="G107" s="506"/>
      <c r="H107" s="506"/>
      <c r="I107" s="506"/>
      <c r="J107" s="502"/>
      <c r="K107" s="502"/>
      <c r="L107" s="504"/>
      <c r="M107" s="504"/>
      <c r="N107" s="504"/>
      <c r="O107" s="504"/>
      <c r="P107" s="504"/>
      <c r="Q107" s="504"/>
      <c r="R107" s="504"/>
      <c r="S107" s="504"/>
      <c r="T107" s="504"/>
      <c r="U107" s="504"/>
      <c r="V107" s="504"/>
      <c r="W107" s="504"/>
      <c r="X107" s="504"/>
      <c r="Y107" s="504"/>
      <c r="Z107" s="504"/>
      <c r="AA107" s="504"/>
      <c r="AB107" s="504"/>
      <c r="AC107" s="504"/>
      <c r="AD107" s="504"/>
      <c r="AE107" s="504"/>
      <c r="AF107" s="504"/>
      <c r="AG107" s="504"/>
      <c r="AH107" s="504"/>
    </row>
    <row r="108" spans="1:34" s="390" customFormat="1">
      <c r="A108" s="502"/>
      <c r="B108" s="502"/>
      <c r="C108" s="502"/>
      <c r="D108" s="502"/>
      <c r="E108" s="502"/>
      <c r="F108" s="502"/>
      <c r="G108" s="506"/>
      <c r="H108" s="506"/>
      <c r="I108" s="506"/>
      <c r="J108" s="502"/>
      <c r="K108" s="502"/>
      <c r="L108" s="504"/>
      <c r="M108" s="504"/>
      <c r="N108" s="504"/>
      <c r="O108" s="504"/>
      <c r="P108" s="504"/>
      <c r="Q108" s="504"/>
      <c r="R108" s="504"/>
      <c r="S108" s="504"/>
      <c r="T108" s="504"/>
      <c r="U108" s="504"/>
      <c r="V108" s="504"/>
      <c r="W108" s="504"/>
      <c r="X108" s="504"/>
      <c r="Y108" s="504"/>
      <c r="Z108" s="504"/>
      <c r="AA108" s="504"/>
      <c r="AB108" s="504"/>
      <c r="AC108" s="504"/>
      <c r="AD108" s="504"/>
      <c r="AE108" s="504"/>
      <c r="AF108" s="504"/>
      <c r="AG108" s="504"/>
      <c r="AH108" s="504"/>
    </row>
    <row r="109" spans="1:34" s="390" customFormat="1">
      <c r="A109" s="502"/>
      <c r="B109" s="502"/>
      <c r="C109" s="502"/>
      <c r="D109" s="502"/>
      <c r="E109" s="502"/>
      <c r="F109" s="502"/>
      <c r="G109" s="506"/>
      <c r="H109" s="506"/>
      <c r="I109" s="506"/>
      <c r="J109" s="502"/>
      <c r="K109" s="502"/>
      <c r="L109" s="504"/>
      <c r="M109" s="504"/>
      <c r="N109" s="504"/>
      <c r="O109" s="504"/>
      <c r="P109" s="504"/>
      <c r="Q109" s="504"/>
      <c r="R109" s="504"/>
      <c r="S109" s="504"/>
      <c r="T109" s="504"/>
      <c r="U109" s="504"/>
      <c r="V109" s="504"/>
      <c r="W109" s="504"/>
      <c r="X109" s="504"/>
      <c r="Y109" s="504"/>
      <c r="Z109" s="504"/>
      <c r="AA109" s="504"/>
      <c r="AB109" s="504"/>
      <c r="AC109" s="504"/>
      <c r="AD109" s="504"/>
      <c r="AE109" s="504"/>
      <c r="AF109" s="504"/>
      <c r="AG109" s="504"/>
      <c r="AH109" s="504"/>
    </row>
    <row r="110" spans="1:34" s="390" customFormat="1">
      <c r="A110" s="505"/>
      <c r="B110" s="502"/>
      <c r="C110" s="502"/>
      <c r="D110" s="502"/>
      <c r="E110" s="502"/>
      <c r="F110" s="502"/>
      <c r="G110" s="506"/>
      <c r="H110" s="506"/>
      <c r="I110" s="506"/>
      <c r="J110" s="502"/>
      <c r="K110" s="502"/>
      <c r="L110" s="504"/>
      <c r="M110" s="504"/>
      <c r="N110" s="504"/>
      <c r="O110" s="504"/>
      <c r="P110" s="504"/>
      <c r="Q110" s="504"/>
      <c r="R110" s="504"/>
      <c r="S110" s="504"/>
      <c r="T110" s="504"/>
      <c r="U110" s="504"/>
      <c r="V110" s="504"/>
      <c r="W110" s="504"/>
      <c r="X110" s="504"/>
      <c r="Y110" s="504"/>
      <c r="Z110" s="504"/>
      <c r="AA110" s="504"/>
      <c r="AB110" s="504"/>
      <c r="AC110" s="504"/>
      <c r="AD110" s="504"/>
      <c r="AE110" s="504"/>
      <c r="AF110" s="504"/>
      <c r="AG110" s="504"/>
      <c r="AH110" s="504"/>
    </row>
    <row r="111" spans="1:34" s="390" customFormat="1">
      <c r="A111" s="507"/>
      <c r="B111" s="507"/>
      <c r="C111" s="507"/>
      <c r="D111" s="507"/>
      <c r="E111" s="507"/>
      <c r="F111" s="507"/>
      <c r="G111" s="508"/>
      <c r="H111" s="508"/>
      <c r="I111" s="508"/>
      <c r="J111" s="502"/>
      <c r="K111" s="502"/>
      <c r="L111" s="504"/>
      <c r="M111" s="504"/>
      <c r="N111" s="504"/>
      <c r="O111" s="504"/>
      <c r="P111" s="504"/>
      <c r="Q111" s="504"/>
      <c r="R111" s="504"/>
      <c r="S111" s="504"/>
      <c r="T111" s="504"/>
      <c r="U111" s="504"/>
      <c r="V111" s="504"/>
      <c r="W111" s="504"/>
      <c r="X111" s="504"/>
      <c r="Y111" s="504"/>
      <c r="Z111" s="504"/>
      <c r="AA111" s="504"/>
      <c r="AB111" s="504"/>
      <c r="AC111" s="504"/>
      <c r="AD111" s="504"/>
      <c r="AE111" s="504"/>
      <c r="AF111" s="504"/>
      <c r="AG111" s="504"/>
      <c r="AH111" s="504"/>
    </row>
    <row r="112" spans="1:34" s="390" customFormat="1">
      <c r="A112" s="502"/>
      <c r="B112" s="502"/>
      <c r="C112" s="502"/>
      <c r="D112" s="502"/>
      <c r="E112" s="502"/>
      <c r="F112" s="502"/>
      <c r="G112" s="506"/>
      <c r="H112" s="506"/>
      <c r="I112" s="506"/>
      <c r="J112" s="502"/>
      <c r="K112" s="502"/>
      <c r="L112" s="504"/>
      <c r="M112" s="504"/>
      <c r="N112" s="504"/>
      <c r="O112" s="504"/>
      <c r="P112" s="504"/>
      <c r="Q112" s="504"/>
      <c r="R112" s="504"/>
      <c r="S112" s="504"/>
      <c r="T112" s="504"/>
      <c r="U112" s="504"/>
      <c r="V112" s="504"/>
      <c r="W112" s="504"/>
      <c r="X112" s="504"/>
      <c r="Y112" s="504"/>
      <c r="Z112" s="504"/>
      <c r="AA112" s="504"/>
      <c r="AB112" s="504"/>
      <c r="AC112" s="504"/>
      <c r="AD112" s="504"/>
      <c r="AE112" s="504"/>
      <c r="AF112" s="504"/>
      <c r="AG112" s="504"/>
      <c r="AH112" s="504"/>
    </row>
    <row r="113" spans="1:34">
      <c r="A113" s="420"/>
      <c r="B113" s="420"/>
      <c r="C113" s="420"/>
      <c r="D113" s="420"/>
      <c r="E113" s="420"/>
      <c r="F113" s="420"/>
      <c r="G113" s="506"/>
      <c r="H113" s="506"/>
      <c r="I113" s="506"/>
      <c r="J113" s="420"/>
      <c r="K113" s="420"/>
      <c r="L113" s="387"/>
      <c r="M113" s="387"/>
      <c r="N113" s="387"/>
      <c r="O113" s="387"/>
      <c r="P113" s="387"/>
      <c r="Q113" s="387"/>
      <c r="R113" s="387"/>
      <c r="S113" s="387"/>
      <c r="T113" s="387"/>
      <c r="U113" s="387"/>
      <c r="V113" s="387"/>
      <c r="W113" s="387"/>
      <c r="X113" s="387"/>
      <c r="Y113" s="387"/>
      <c r="Z113" s="387"/>
      <c r="AA113" s="387"/>
      <c r="AB113" s="387"/>
      <c r="AC113" s="387"/>
      <c r="AD113" s="387"/>
      <c r="AE113" s="387"/>
      <c r="AF113" s="387"/>
      <c r="AG113" s="387"/>
      <c r="AH113" s="387"/>
    </row>
    <row r="114" spans="1:34">
      <c r="A114" s="507"/>
      <c r="B114" s="507"/>
      <c r="C114" s="507"/>
      <c r="D114" s="507"/>
      <c r="E114" s="507"/>
      <c r="F114" s="507"/>
      <c r="G114" s="508"/>
      <c r="H114" s="508"/>
      <c r="I114" s="508"/>
      <c r="J114" s="420"/>
      <c r="K114" s="420"/>
      <c r="L114" s="387"/>
      <c r="M114" s="387"/>
      <c r="N114" s="387"/>
      <c r="O114" s="387"/>
      <c r="P114" s="387"/>
      <c r="Q114" s="387"/>
      <c r="R114" s="387"/>
      <c r="S114" s="387"/>
      <c r="T114" s="387"/>
      <c r="U114" s="387"/>
      <c r="V114" s="387"/>
      <c r="W114" s="387"/>
      <c r="X114" s="387"/>
      <c r="Y114" s="387"/>
      <c r="Z114" s="387"/>
      <c r="AA114" s="387"/>
      <c r="AB114" s="387"/>
      <c r="AC114" s="387"/>
      <c r="AD114" s="387"/>
      <c r="AE114" s="387"/>
      <c r="AF114" s="387"/>
      <c r="AG114" s="387"/>
      <c r="AH114" s="387"/>
    </row>
    <row r="115" spans="1:34">
      <c r="A115" s="494"/>
      <c r="B115" s="494"/>
      <c r="C115" s="494"/>
      <c r="D115" s="494"/>
      <c r="E115" s="494"/>
      <c r="F115" s="494"/>
      <c r="G115" s="509"/>
      <c r="H115" s="509"/>
      <c r="I115" s="509"/>
      <c r="J115" s="420"/>
      <c r="K115" s="420"/>
      <c r="L115" s="387"/>
      <c r="M115" s="387"/>
      <c r="N115" s="387"/>
      <c r="O115" s="387"/>
      <c r="P115" s="387"/>
      <c r="Q115" s="387"/>
      <c r="R115" s="387"/>
      <c r="S115" s="387"/>
      <c r="T115" s="387"/>
      <c r="U115" s="387"/>
      <c r="V115" s="387"/>
      <c r="W115" s="387"/>
      <c r="X115" s="387"/>
      <c r="Y115" s="387"/>
      <c r="Z115" s="387"/>
      <c r="AA115" s="387"/>
      <c r="AB115" s="387"/>
      <c r="AC115" s="387"/>
      <c r="AD115" s="387"/>
      <c r="AE115" s="387"/>
      <c r="AF115" s="387"/>
      <c r="AG115" s="387"/>
      <c r="AH115" s="387"/>
    </row>
    <row r="116" spans="1:34">
      <c r="A116" s="420"/>
      <c r="B116" s="420"/>
      <c r="C116" s="420"/>
      <c r="D116" s="420"/>
      <c r="E116" s="420"/>
      <c r="F116" s="420"/>
      <c r="G116" s="420"/>
      <c r="H116" s="420"/>
      <c r="I116" s="420"/>
      <c r="J116" s="420"/>
      <c r="K116" s="420"/>
      <c r="L116" s="387"/>
      <c r="M116" s="387"/>
      <c r="N116" s="387"/>
      <c r="O116" s="387"/>
      <c r="P116" s="387"/>
      <c r="Q116" s="387"/>
      <c r="R116" s="387"/>
      <c r="S116" s="387"/>
      <c r="T116" s="387"/>
      <c r="U116" s="387"/>
      <c r="V116" s="387"/>
      <c r="W116" s="387"/>
      <c r="X116" s="387"/>
      <c r="Y116" s="387"/>
      <c r="Z116" s="387"/>
      <c r="AA116" s="387"/>
      <c r="AB116" s="387"/>
      <c r="AC116" s="387"/>
      <c r="AD116" s="387"/>
      <c r="AE116" s="387"/>
      <c r="AF116" s="387"/>
      <c r="AG116" s="387"/>
      <c r="AH116" s="387"/>
    </row>
    <row r="117" spans="1:34">
      <c r="A117" s="494"/>
      <c r="B117" s="420"/>
      <c r="C117" s="420"/>
      <c r="D117" s="420"/>
      <c r="E117" s="420"/>
      <c r="F117" s="420"/>
      <c r="G117" s="510"/>
      <c r="H117" s="510"/>
      <c r="I117" s="510"/>
      <c r="J117" s="420"/>
      <c r="K117" s="420"/>
      <c r="L117" s="387"/>
      <c r="M117" s="387"/>
      <c r="N117" s="387"/>
      <c r="O117" s="387"/>
      <c r="P117" s="387"/>
      <c r="Q117" s="387"/>
      <c r="R117" s="387"/>
      <c r="S117" s="387"/>
      <c r="T117" s="387"/>
      <c r="U117" s="387"/>
      <c r="V117" s="387"/>
      <c r="W117" s="387"/>
      <c r="X117" s="387"/>
      <c r="Y117" s="387"/>
      <c r="Z117" s="387"/>
      <c r="AA117" s="387"/>
      <c r="AB117" s="387"/>
      <c r="AC117" s="387"/>
      <c r="AD117" s="387"/>
      <c r="AE117" s="387"/>
      <c r="AF117" s="387"/>
      <c r="AG117" s="387"/>
      <c r="AH117" s="387"/>
    </row>
    <row r="118" spans="1:34">
      <c r="A118" s="494"/>
      <c r="B118" s="420"/>
      <c r="C118" s="420"/>
      <c r="D118" s="420"/>
      <c r="E118" s="420"/>
      <c r="F118" s="420"/>
      <c r="G118" s="510"/>
      <c r="H118" s="510"/>
      <c r="I118" s="509"/>
      <c r="J118" s="420"/>
      <c r="K118" s="420"/>
      <c r="L118" s="387"/>
      <c r="M118" s="387"/>
      <c r="N118" s="387"/>
      <c r="O118" s="387"/>
      <c r="P118" s="387"/>
      <c r="Q118" s="387"/>
      <c r="R118" s="387"/>
      <c r="S118" s="387"/>
      <c r="T118" s="387"/>
      <c r="U118" s="387"/>
      <c r="V118" s="387"/>
      <c r="W118" s="387"/>
      <c r="X118" s="387"/>
      <c r="Y118" s="387"/>
      <c r="Z118" s="387"/>
      <c r="AA118" s="387"/>
      <c r="AB118" s="387"/>
      <c r="AC118" s="387"/>
      <c r="AD118" s="387"/>
      <c r="AE118" s="387"/>
      <c r="AF118" s="387"/>
      <c r="AG118" s="387"/>
      <c r="AH118" s="387"/>
    </row>
    <row r="119" spans="1:34">
      <c r="A119" s="494"/>
      <c r="B119" s="494"/>
      <c r="C119" s="494"/>
      <c r="D119" s="494"/>
      <c r="E119" s="494"/>
      <c r="F119" s="494"/>
      <c r="G119" s="494"/>
      <c r="H119" s="510"/>
      <c r="I119" s="511"/>
      <c r="J119" s="420"/>
      <c r="K119" s="420"/>
      <c r="L119" s="387"/>
      <c r="M119" s="387"/>
      <c r="N119" s="387"/>
      <c r="O119" s="387"/>
      <c r="P119" s="387"/>
      <c r="Q119" s="387"/>
      <c r="R119" s="387"/>
      <c r="S119" s="387"/>
      <c r="T119" s="387"/>
      <c r="U119" s="387"/>
      <c r="V119" s="387"/>
      <c r="W119" s="387"/>
      <c r="X119" s="387"/>
      <c r="Y119" s="387"/>
      <c r="Z119" s="387"/>
      <c r="AA119" s="387"/>
      <c r="AB119" s="387"/>
      <c r="AC119" s="387"/>
      <c r="AD119" s="387"/>
      <c r="AE119" s="387"/>
      <c r="AF119" s="387"/>
      <c r="AG119" s="387"/>
      <c r="AH119" s="387"/>
    </row>
    <row r="120" spans="1:34">
      <c r="A120" s="494"/>
      <c r="B120" s="494"/>
      <c r="C120" s="494"/>
      <c r="D120" s="494"/>
      <c r="E120" s="494"/>
      <c r="F120" s="494"/>
      <c r="G120" s="494"/>
      <c r="H120" s="510"/>
      <c r="I120" s="509"/>
      <c r="J120" s="420"/>
      <c r="K120" s="420"/>
      <c r="L120" s="387"/>
      <c r="M120" s="387"/>
      <c r="N120" s="387"/>
      <c r="O120" s="387"/>
      <c r="P120" s="387"/>
      <c r="Q120" s="387"/>
      <c r="R120" s="387"/>
      <c r="S120" s="387"/>
      <c r="T120" s="387"/>
      <c r="U120" s="387"/>
      <c r="V120" s="387"/>
      <c r="W120" s="387"/>
      <c r="X120" s="387"/>
      <c r="Y120" s="387"/>
      <c r="Z120" s="387"/>
      <c r="AA120" s="387"/>
      <c r="AB120" s="387"/>
      <c r="AC120" s="387"/>
      <c r="AD120" s="387"/>
      <c r="AE120" s="387"/>
      <c r="AF120" s="387"/>
      <c r="AG120" s="387"/>
      <c r="AH120" s="387"/>
    </row>
    <row r="121" spans="1:34">
      <c r="A121" s="420"/>
      <c r="B121" s="420"/>
      <c r="C121" s="420"/>
      <c r="D121" s="420"/>
      <c r="E121" s="420"/>
      <c r="F121" s="420"/>
      <c r="G121" s="420"/>
      <c r="H121" s="420"/>
      <c r="I121" s="420"/>
      <c r="J121" s="420"/>
      <c r="K121" s="420"/>
      <c r="L121" s="387"/>
      <c r="M121" s="387"/>
      <c r="N121" s="387"/>
      <c r="O121" s="387"/>
      <c r="P121" s="387"/>
      <c r="Q121" s="387"/>
      <c r="R121" s="387"/>
      <c r="S121" s="387"/>
      <c r="T121" s="387"/>
      <c r="U121" s="387"/>
      <c r="V121" s="387"/>
      <c r="W121" s="387"/>
      <c r="X121" s="387"/>
      <c r="Y121" s="387"/>
      <c r="Z121" s="387"/>
      <c r="AA121" s="387"/>
      <c r="AB121" s="387"/>
      <c r="AC121" s="387"/>
      <c r="AD121" s="387"/>
      <c r="AE121" s="387"/>
      <c r="AF121" s="387"/>
      <c r="AG121" s="387"/>
      <c r="AH121" s="387"/>
    </row>
    <row r="122" spans="1:34">
      <c r="A122" s="512"/>
      <c r="B122" s="420"/>
      <c r="C122" s="420"/>
      <c r="D122" s="420"/>
      <c r="E122" s="420"/>
      <c r="F122" s="420"/>
      <c r="G122" s="420"/>
      <c r="H122" s="420"/>
      <c r="I122" s="420"/>
      <c r="J122" s="420"/>
      <c r="K122" s="420"/>
      <c r="L122" s="387"/>
      <c r="M122" s="387"/>
      <c r="N122" s="387"/>
      <c r="O122" s="387"/>
      <c r="P122" s="387"/>
      <c r="Q122" s="387"/>
      <c r="R122" s="387"/>
      <c r="S122" s="387"/>
      <c r="T122" s="387"/>
      <c r="U122" s="387"/>
      <c r="V122" s="387"/>
      <c r="W122" s="387"/>
      <c r="X122" s="387"/>
      <c r="Y122" s="387"/>
      <c r="Z122" s="387"/>
      <c r="AA122" s="387"/>
      <c r="AB122" s="387"/>
      <c r="AC122" s="387"/>
      <c r="AD122" s="387"/>
      <c r="AE122" s="387"/>
      <c r="AF122" s="387"/>
      <c r="AG122" s="387"/>
      <c r="AH122" s="387"/>
    </row>
    <row r="123" spans="1:34">
      <c r="A123" s="512"/>
      <c r="B123" s="420"/>
      <c r="C123" s="420"/>
      <c r="D123" s="420"/>
      <c r="E123" s="420"/>
      <c r="F123" s="420"/>
      <c r="G123" s="420"/>
      <c r="H123" s="420"/>
      <c r="I123" s="420"/>
      <c r="J123" s="420"/>
      <c r="K123" s="420"/>
      <c r="L123" s="387"/>
      <c r="M123" s="387"/>
      <c r="N123" s="387"/>
      <c r="O123" s="387"/>
      <c r="P123" s="387"/>
      <c r="Q123" s="387"/>
      <c r="R123" s="387"/>
      <c r="S123" s="387"/>
      <c r="T123" s="387"/>
      <c r="U123" s="387"/>
      <c r="V123" s="387"/>
      <c r="W123" s="387"/>
      <c r="X123" s="387"/>
      <c r="Y123" s="387"/>
      <c r="Z123" s="387"/>
      <c r="AA123" s="387"/>
      <c r="AB123" s="387"/>
      <c r="AC123" s="387"/>
      <c r="AD123" s="387"/>
      <c r="AE123" s="387"/>
      <c r="AF123" s="387"/>
      <c r="AG123" s="387"/>
      <c r="AH123" s="387"/>
    </row>
    <row r="124" spans="1:34">
      <c r="A124" s="513"/>
      <c r="B124" s="420"/>
      <c r="C124" s="420"/>
      <c r="D124" s="420"/>
      <c r="E124" s="420"/>
      <c r="F124" s="420"/>
      <c r="G124" s="420"/>
      <c r="H124" s="420"/>
      <c r="I124" s="420"/>
      <c r="J124" s="420"/>
      <c r="K124" s="420"/>
      <c r="L124" s="387"/>
      <c r="M124" s="387"/>
      <c r="N124" s="387"/>
      <c r="O124" s="387"/>
      <c r="P124" s="387"/>
      <c r="Q124" s="387"/>
      <c r="R124" s="387"/>
      <c r="S124" s="387"/>
      <c r="T124" s="387"/>
      <c r="U124" s="387"/>
      <c r="V124" s="387"/>
      <c r="W124" s="387"/>
      <c r="X124" s="387"/>
      <c r="Y124" s="387"/>
      <c r="Z124" s="387"/>
      <c r="AA124" s="387"/>
      <c r="AB124" s="387"/>
      <c r="AC124" s="387"/>
      <c r="AD124" s="387"/>
      <c r="AE124" s="387"/>
      <c r="AF124" s="387"/>
      <c r="AG124" s="387"/>
      <c r="AH124" s="387"/>
    </row>
    <row r="125" spans="1:34">
      <c r="A125" s="512"/>
      <c r="B125" s="420"/>
      <c r="C125" s="420"/>
      <c r="D125" s="420"/>
      <c r="E125" s="420"/>
      <c r="F125" s="420"/>
      <c r="G125" s="420"/>
      <c r="H125" s="420"/>
      <c r="I125" s="420"/>
      <c r="J125" s="420"/>
      <c r="K125" s="420"/>
      <c r="L125" s="387"/>
      <c r="M125" s="387"/>
      <c r="N125" s="387"/>
      <c r="O125" s="387"/>
      <c r="P125" s="387"/>
      <c r="Q125" s="387"/>
      <c r="R125" s="387"/>
      <c r="S125" s="387"/>
      <c r="T125" s="387"/>
      <c r="U125" s="387"/>
      <c r="V125" s="387"/>
      <c r="W125" s="387"/>
      <c r="X125" s="387"/>
      <c r="Y125" s="387"/>
      <c r="Z125" s="387"/>
      <c r="AA125" s="387"/>
      <c r="AB125" s="387"/>
      <c r="AC125" s="387"/>
      <c r="AD125" s="387"/>
      <c r="AE125" s="387"/>
      <c r="AF125" s="387"/>
      <c r="AG125" s="387"/>
      <c r="AH125" s="387"/>
    </row>
    <row r="126" spans="1:34">
      <c r="A126" s="513"/>
      <c r="B126" s="420"/>
      <c r="C126" s="420"/>
      <c r="D126" s="420"/>
      <c r="E126" s="420"/>
      <c r="F126" s="420"/>
      <c r="G126" s="420"/>
      <c r="H126" s="420"/>
      <c r="I126" s="420"/>
      <c r="J126" s="420"/>
      <c r="K126" s="420"/>
      <c r="L126" s="387"/>
      <c r="M126" s="387"/>
      <c r="N126" s="387"/>
      <c r="O126" s="387"/>
      <c r="P126" s="387"/>
      <c r="Q126" s="387"/>
      <c r="R126" s="387"/>
      <c r="S126" s="387"/>
      <c r="T126" s="387"/>
      <c r="U126" s="387"/>
      <c r="V126" s="387"/>
      <c r="W126" s="387"/>
      <c r="X126" s="387"/>
      <c r="Y126" s="387"/>
      <c r="Z126" s="387"/>
      <c r="AA126" s="387"/>
      <c r="AB126" s="387"/>
      <c r="AC126" s="387"/>
      <c r="AD126" s="387"/>
      <c r="AE126" s="387"/>
      <c r="AF126" s="387"/>
      <c r="AG126" s="387"/>
      <c r="AH126" s="387"/>
    </row>
    <row r="127" spans="1:34">
      <c r="A127" s="512"/>
      <c r="B127" s="512"/>
      <c r="C127" s="512"/>
      <c r="D127" s="512"/>
      <c r="E127" s="512"/>
      <c r="F127" s="512"/>
      <c r="G127" s="420"/>
      <c r="H127" s="420"/>
      <c r="I127" s="420"/>
      <c r="J127" s="420"/>
      <c r="K127" s="420"/>
      <c r="L127" s="387"/>
      <c r="M127" s="387"/>
      <c r="N127" s="387"/>
      <c r="O127" s="387"/>
      <c r="P127" s="387"/>
      <c r="Q127" s="387"/>
      <c r="R127" s="387"/>
      <c r="S127" s="387"/>
      <c r="T127" s="387"/>
      <c r="U127" s="387"/>
      <c r="V127" s="387"/>
      <c r="W127" s="387"/>
      <c r="X127" s="387"/>
      <c r="Y127" s="387"/>
      <c r="Z127" s="387"/>
      <c r="AA127" s="387"/>
      <c r="AB127" s="387"/>
      <c r="AC127" s="387"/>
      <c r="AD127" s="387"/>
      <c r="AE127" s="387"/>
      <c r="AF127" s="387"/>
      <c r="AG127" s="387"/>
      <c r="AH127" s="387"/>
    </row>
    <row r="128" spans="1:34">
      <c r="A128" s="512"/>
      <c r="B128" s="420"/>
      <c r="C128" s="420"/>
      <c r="D128" s="420"/>
      <c r="E128" s="420"/>
      <c r="F128" s="420"/>
      <c r="G128" s="420"/>
      <c r="H128" s="420"/>
      <c r="I128" s="420"/>
      <c r="J128" s="420"/>
      <c r="K128" s="420"/>
      <c r="L128" s="387"/>
      <c r="M128" s="387"/>
      <c r="N128" s="387"/>
      <c r="O128" s="387"/>
      <c r="P128" s="387"/>
      <c r="Q128" s="387"/>
      <c r="R128" s="387"/>
      <c r="S128" s="387"/>
      <c r="T128" s="387"/>
      <c r="U128" s="387"/>
      <c r="V128" s="387"/>
      <c r="W128" s="387"/>
      <c r="X128" s="387"/>
      <c r="Y128" s="387"/>
      <c r="Z128" s="387"/>
      <c r="AA128" s="387"/>
      <c r="AB128" s="387"/>
      <c r="AC128" s="387"/>
      <c r="AD128" s="387"/>
      <c r="AE128" s="387"/>
      <c r="AF128" s="387"/>
      <c r="AG128" s="387"/>
      <c r="AH128" s="387"/>
    </row>
    <row r="129" spans="1:34">
      <c r="A129" s="420"/>
      <c r="B129" s="420"/>
      <c r="C129" s="420"/>
      <c r="D129" s="420"/>
      <c r="E129" s="420"/>
      <c r="F129" s="420"/>
      <c r="G129" s="420"/>
      <c r="H129" s="420"/>
      <c r="I129" s="420"/>
      <c r="J129" s="420"/>
      <c r="K129" s="420"/>
      <c r="L129" s="387"/>
      <c r="M129" s="387"/>
      <c r="N129" s="387"/>
      <c r="O129" s="387"/>
      <c r="P129" s="387"/>
      <c r="Q129" s="387"/>
      <c r="R129" s="387"/>
      <c r="S129" s="387"/>
      <c r="T129" s="387"/>
      <c r="U129" s="387"/>
      <c r="V129" s="387"/>
      <c r="W129" s="387"/>
      <c r="X129" s="387"/>
      <c r="Y129" s="387"/>
      <c r="Z129" s="387"/>
      <c r="AA129" s="387"/>
      <c r="AB129" s="387"/>
      <c r="AC129" s="387"/>
      <c r="AD129" s="387"/>
      <c r="AE129" s="387"/>
      <c r="AF129" s="387"/>
      <c r="AG129" s="387"/>
      <c r="AH129" s="387"/>
    </row>
    <row r="130" spans="1:34">
      <c r="A130" s="420"/>
      <c r="B130" s="420"/>
      <c r="C130" s="420"/>
      <c r="D130" s="420"/>
      <c r="E130" s="420"/>
      <c r="F130" s="420"/>
      <c r="G130" s="420"/>
      <c r="H130" s="420"/>
      <c r="I130" s="420"/>
      <c r="J130" s="420"/>
      <c r="K130" s="420"/>
      <c r="L130" s="387"/>
      <c r="M130" s="387"/>
      <c r="N130" s="387"/>
      <c r="O130" s="387"/>
      <c r="P130" s="387"/>
      <c r="Q130" s="387"/>
      <c r="R130" s="387"/>
      <c r="S130" s="387"/>
      <c r="T130" s="387"/>
      <c r="U130" s="387"/>
      <c r="V130" s="387"/>
      <c r="W130" s="387"/>
      <c r="X130" s="387"/>
      <c r="Y130" s="387"/>
      <c r="Z130" s="387"/>
      <c r="AA130" s="387"/>
      <c r="AB130" s="387"/>
      <c r="AC130" s="387"/>
      <c r="AD130" s="387"/>
      <c r="AE130" s="387"/>
      <c r="AF130" s="387"/>
      <c r="AG130" s="387"/>
      <c r="AH130" s="387"/>
    </row>
    <row r="131" spans="1:34">
      <c r="A131" s="420"/>
      <c r="B131" s="420"/>
      <c r="C131" s="420"/>
      <c r="D131" s="420"/>
      <c r="E131" s="420"/>
      <c r="F131" s="420"/>
      <c r="G131" s="420"/>
      <c r="H131" s="420"/>
      <c r="I131" s="420"/>
      <c r="J131" s="420"/>
      <c r="K131" s="420"/>
      <c r="L131" s="387"/>
      <c r="M131" s="387"/>
      <c r="N131" s="387"/>
      <c r="O131" s="387"/>
      <c r="P131" s="387"/>
      <c r="Q131" s="387"/>
      <c r="R131" s="387"/>
      <c r="S131" s="387"/>
      <c r="T131" s="387"/>
      <c r="U131" s="387"/>
      <c r="V131" s="387"/>
      <c r="W131" s="387"/>
      <c r="X131" s="387"/>
      <c r="Y131" s="387"/>
      <c r="Z131" s="387"/>
      <c r="AA131" s="387"/>
      <c r="AB131" s="387"/>
      <c r="AC131" s="387"/>
      <c r="AD131" s="387"/>
      <c r="AE131" s="387"/>
      <c r="AF131" s="387"/>
      <c r="AG131" s="387"/>
      <c r="AH131" s="387"/>
    </row>
    <row r="132" spans="1:34">
      <c r="A132" s="420"/>
      <c r="B132" s="420"/>
      <c r="C132" s="420"/>
      <c r="D132" s="420"/>
      <c r="E132" s="420"/>
      <c r="F132" s="420"/>
      <c r="G132" s="420"/>
      <c r="H132" s="420"/>
      <c r="I132" s="420"/>
      <c r="J132" s="420"/>
      <c r="K132" s="420"/>
      <c r="L132" s="387"/>
      <c r="M132" s="387"/>
      <c r="N132" s="387"/>
      <c r="O132" s="387"/>
      <c r="P132" s="387"/>
      <c r="Q132" s="387"/>
      <c r="R132" s="387"/>
      <c r="S132" s="387"/>
      <c r="T132" s="387"/>
      <c r="U132" s="387"/>
      <c r="V132" s="387"/>
      <c r="W132" s="387"/>
      <c r="X132" s="387"/>
      <c r="Y132" s="387"/>
      <c r="Z132" s="387"/>
      <c r="AA132" s="387"/>
      <c r="AB132" s="387"/>
      <c r="AC132" s="387"/>
      <c r="AD132" s="387"/>
      <c r="AE132" s="387"/>
      <c r="AF132" s="387"/>
      <c r="AG132" s="387"/>
      <c r="AH132" s="387"/>
    </row>
    <row r="133" spans="1:34">
      <c r="A133" s="420"/>
      <c r="B133" s="420"/>
      <c r="C133" s="420"/>
      <c r="D133" s="420"/>
      <c r="E133" s="420"/>
      <c r="F133" s="420"/>
      <c r="G133" s="420"/>
      <c r="H133" s="420"/>
      <c r="I133" s="420"/>
      <c r="J133" s="420"/>
      <c r="K133" s="420"/>
      <c r="L133" s="387"/>
      <c r="M133" s="387"/>
      <c r="N133" s="387"/>
      <c r="O133" s="387"/>
      <c r="P133" s="387"/>
      <c r="Q133" s="387"/>
      <c r="R133" s="387"/>
      <c r="S133" s="387"/>
      <c r="T133" s="387"/>
      <c r="U133" s="387"/>
      <c r="V133" s="387"/>
      <c r="W133" s="387"/>
      <c r="X133" s="387"/>
      <c r="Y133" s="387"/>
      <c r="Z133" s="387"/>
      <c r="AA133" s="387"/>
      <c r="AB133" s="387"/>
      <c r="AC133" s="387"/>
      <c r="AD133" s="387"/>
      <c r="AE133" s="387"/>
      <c r="AF133" s="387"/>
      <c r="AG133" s="387"/>
      <c r="AH133" s="387"/>
    </row>
    <row r="134" spans="1:34">
      <c r="A134" s="420"/>
      <c r="B134" s="420"/>
      <c r="C134" s="420"/>
      <c r="D134" s="420"/>
      <c r="E134" s="420"/>
      <c r="F134" s="420"/>
      <c r="G134" s="420"/>
      <c r="H134" s="420"/>
      <c r="I134" s="420"/>
      <c r="J134" s="420"/>
      <c r="K134" s="420"/>
      <c r="L134" s="387"/>
      <c r="M134" s="387"/>
      <c r="N134" s="387"/>
      <c r="O134" s="387"/>
      <c r="P134" s="387"/>
      <c r="Q134" s="387"/>
      <c r="R134" s="387"/>
      <c r="S134" s="387"/>
      <c r="T134" s="387"/>
      <c r="U134" s="387"/>
      <c r="V134" s="387"/>
      <c r="W134" s="387"/>
      <c r="X134" s="387"/>
      <c r="Y134" s="387"/>
      <c r="Z134" s="387"/>
      <c r="AA134" s="387"/>
      <c r="AB134" s="387"/>
      <c r="AC134" s="387"/>
      <c r="AD134" s="387"/>
      <c r="AE134" s="387"/>
      <c r="AF134" s="387"/>
      <c r="AG134" s="387"/>
      <c r="AH134" s="387"/>
    </row>
    <row r="135" spans="1:34">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c r="AE135" s="387"/>
      <c r="AF135" s="387"/>
      <c r="AG135" s="387"/>
      <c r="AH135" s="387"/>
    </row>
    <row r="136" spans="1:34">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c r="AE136" s="387"/>
      <c r="AF136" s="387"/>
      <c r="AG136" s="387"/>
      <c r="AH136" s="387"/>
    </row>
    <row r="137" spans="1:34">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c r="AE137" s="387"/>
      <c r="AF137" s="387"/>
      <c r="AG137" s="387"/>
      <c r="AH137" s="387"/>
    </row>
    <row r="138" spans="1:34">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c r="AE138" s="387"/>
      <c r="AF138" s="387"/>
      <c r="AG138" s="387"/>
      <c r="AH138" s="387"/>
    </row>
    <row r="139" spans="1:34">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c r="AE139" s="387"/>
      <c r="AF139" s="387"/>
      <c r="AG139" s="387"/>
      <c r="AH139" s="387"/>
    </row>
    <row r="140" spans="1:34">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c r="AE140" s="387"/>
      <c r="AF140" s="387"/>
      <c r="AG140" s="387"/>
      <c r="AH140" s="387"/>
    </row>
    <row r="141" spans="1:34">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c r="AE141" s="387"/>
      <c r="AF141" s="387"/>
      <c r="AG141" s="387"/>
      <c r="AH141" s="387"/>
    </row>
    <row r="142" spans="1:34">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c r="AE142" s="387"/>
      <c r="AF142" s="387"/>
      <c r="AG142" s="387"/>
      <c r="AH142" s="387"/>
    </row>
    <row r="143" spans="1:34">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c r="AE143" s="387"/>
      <c r="AF143" s="387"/>
      <c r="AG143" s="387"/>
      <c r="AH143" s="387"/>
    </row>
    <row r="144" spans="1:34">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c r="AE144" s="387"/>
      <c r="AF144" s="387"/>
      <c r="AG144" s="387"/>
      <c r="AH144" s="387"/>
    </row>
    <row r="145" spans="1:34">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c r="AE145" s="387"/>
      <c r="AF145" s="387"/>
      <c r="AG145" s="387"/>
      <c r="AH145" s="387"/>
    </row>
    <row r="146" spans="1:34">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c r="AE146" s="387"/>
      <c r="AF146" s="387"/>
      <c r="AG146" s="387"/>
      <c r="AH146" s="387"/>
    </row>
    <row r="147" spans="1:34">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c r="AE147" s="387"/>
      <c r="AF147" s="387"/>
      <c r="AG147" s="387"/>
      <c r="AH147" s="387"/>
    </row>
    <row r="148" spans="1:34">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c r="AE148" s="387"/>
      <c r="AF148" s="387"/>
      <c r="AG148" s="387"/>
      <c r="AH148" s="387"/>
    </row>
    <row r="149" spans="1:34">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c r="AE149" s="387"/>
      <c r="AF149" s="387"/>
      <c r="AG149" s="387"/>
      <c r="AH149" s="387"/>
    </row>
    <row r="150" spans="1:34">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c r="AE150" s="387"/>
      <c r="AF150" s="387"/>
      <c r="AG150" s="387"/>
      <c r="AH150" s="387"/>
    </row>
    <row r="151" spans="1:34">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c r="AE151" s="387"/>
      <c r="AF151" s="387"/>
      <c r="AG151" s="387"/>
      <c r="AH151" s="387"/>
    </row>
    <row r="152" spans="1:34">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c r="AE152" s="387"/>
      <c r="AF152" s="387"/>
      <c r="AG152" s="387"/>
      <c r="AH152" s="387"/>
    </row>
    <row r="153" spans="1:34">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c r="AE153" s="387"/>
      <c r="AF153" s="387"/>
      <c r="AG153" s="387"/>
      <c r="AH153" s="387"/>
    </row>
    <row r="154" spans="1:34">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c r="AE154" s="387"/>
      <c r="AF154" s="387"/>
      <c r="AG154" s="387"/>
      <c r="AH154" s="387"/>
    </row>
    <row r="155" spans="1:34">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c r="AE155" s="387"/>
      <c r="AF155" s="387"/>
      <c r="AG155" s="387"/>
      <c r="AH155" s="387"/>
    </row>
    <row r="156" spans="1:34">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c r="AE156" s="387"/>
      <c r="AF156" s="387"/>
      <c r="AG156" s="387"/>
      <c r="AH156" s="387"/>
    </row>
    <row r="157" spans="1:34">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c r="AE157" s="387"/>
      <c r="AF157" s="387"/>
      <c r="AG157" s="387"/>
      <c r="AH157" s="387"/>
    </row>
    <row r="158" spans="1:34">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c r="AE158" s="387"/>
      <c r="AF158" s="387"/>
      <c r="AG158" s="387"/>
      <c r="AH158" s="387"/>
    </row>
    <row r="159" spans="1:34">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c r="AE159" s="387"/>
      <c r="AF159" s="387"/>
      <c r="AG159" s="387"/>
      <c r="AH159" s="387"/>
    </row>
    <row r="160" spans="1:34">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c r="AE160" s="387"/>
      <c r="AF160" s="387"/>
      <c r="AG160" s="387"/>
      <c r="AH160" s="387"/>
    </row>
    <row r="161" spans="1:34">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c r="AE161" s="387"/>
      <c r="AF161" s="387"/>
      <c r="AG161" s="387"/>
      <c r="AH161" s="387"/>
    </row>
    <row r="162" spans="1:34">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c r="AE162" s="387"/>
      <c r="AF162" s="387"/>
      <c r="AG162" s="387"/>
      <c r="AH162" s="387"/>
    </row>
    <row r="163" spans="1:34">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c r="AE163" s="387"/>
      <c r="AF163" s="387"/>
      <c r="AG163" s="387"/>
      <c r="AH163" s="387"/>
    </row>
    <row r="164" spans="1:34">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c r="AE164" s="387"/>
      <c r="AF164" s="387"/>
      <c r="AG164" s="387"/>
      <c r="AH164" s="387"/>
    </row>
    <row r="165" spans="1:34">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c r="AE165" s="387"/>
      <c r="AF165" s="387"/>
      <c r="AG165" s="387"/>
      <c r="AH165" s="387"/>
    </row>
    <row r="166" spans="1:34">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c r="AE166" s="387"/>
      <c r="AF166" s="387"/>
      <c r="AG166" s="387"/>
      <c r="AH166" s="387"/>
    </row>
    <row r="167" spans="1:34">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c r="AE167" s="387"/>
      <c r="AF167" s="387"/>
      <c r="AG167" s="387"/>
      <c r="AH167" s="387"/>
    </row>
    <row r="168" spans="1:34">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c r="AE168" s="387"/>
      <c r="AF168" s="387"/>
      <c r="AG168" s="387"/>
      <c r="AH168" s="387"/>
    </row>
    <row r="169" spans="1:34">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c r="AE169" s="387"/>
      <c r="AF169" s="387"/>
      <c r="AG169" s="387"/>
      <c r="AH169" s="387"/>
    </row>
    <row r="170" spans="1:34">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c r="AE170" s="387"/>
      <c r="AF170" s="387"/>
      <c r="AG170" s="387"/>
      <c r="AH170" s="387"/>
    </row>
    <row r="171" spans="1:34">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c r="AE171" s="387"/>
      <c r="AF171" s="387"/>
      <c r="AG171" s="387"/>
      <c r="AH171" s="387"/>
    </row>
    <row r="172" spans="1:34">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c r="AE172" s="387"/>
      <c r="AF172" s="387"/>
      <c r="AG172" s="387"/>
      <c r="AH172" s="387"/>
    </row>
    <row r="173" spans="1:34">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c r="AE173" s="387"/>
      <c r="AF173" s="387"/>
      <c r="AG173" s="387"/>
      <c r="AH173" s="387"/>
    </row>
    <row r="174" spans="1:34">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c r="AE174" s="387"/>
      <c r="AF174" s="387"/>
      <c r="AG174" s="387"/>
      <c r="AH174" s="387"/>
    </row>
    <row r="175" spans="1:34">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c r="AE175" s="387"/>
      <c r="AF175" s="387"/>
      <c r="AG175" s="387"/>
      <c r="AH175" s="387"/>
    </row>
    <row r="176" spans="1:34">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c r="AE176" s="387"/>
      <c r="AF176" s="387"/>
      <c r="AG176" s="387"/>
      <c r="AH176" s="387"/>
    </row>
    <row r="177" spans="1:34">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c r="AE177" s="387"/>
      <c r="AF177" s="387"/>
      <c r="AG177" s="387"/>
      <c r="AH177" s="387"/>
    </row>
    <row r="178" spans="1:34">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c r="AE178" s="387"/>
      <c r="AF178" s="387"/>
      <c r="AG178" s="387"/>
      <c r="AH178" s="387"/>
    </row>
    <row r="179" spans="1:34">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c r="AE179" s="387"/>
      <c r="AF179" s="387"/>
      <c r="AG179" s="387"/>
      <c r="AH179" s="387"/>
    </row>
    <row r="180" spans="1:34">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c r="AE180" s="387"/>
      <c r="AF180" s="387"/>
      <c r="AG180" s="387"/>
      <c r="AH180" s="387"/>
    </row>
    <row r="181" spans="1:34">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c r="AE181" s="387"/>
      <c r="AF181" s="387"/>
      <c r="AG181" s="387"/>
      <c r="AH181" s="387"/>
    </row>
    <row r="182" spans="1:34">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c r="AE182" s="387"/>
      <c r="AF182" s="387"/>
      <c r="AG182" s="387"/>
      <c r="AH182" s="387"/>
    </row>
    <row r="183" spans="1:34">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c r="AE183" s="387"/>
      <c r="AF183" s="387"/>
      <c r="AG183" s="387"/>
      <c r="AH183" s="387"/>
    </row>
    <row r="184" spans="1:34">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c r="AE184" s="387"/>
      <c r="AF184" s="387"/>
      <c r="AG184" s="387"/>
      <c r="AH184" s="387"/>
    </row>
    <row r="185" spans="1:34">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c r="AE185" s="387"/>
      <c r="AF185" s="387"/>
      <c r="AG185" s="387"/>
      <c r="AH185" s="387"/>
    </row>
    <row r="186" spans="1:34">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c r="AE186" s="387"/>
      <c r="AF186" s="387"/>
      <c r="AG186" s="387"/>
      <c r="AH186" s="387"/>
    </row>
    <row r="187" spans="1:34">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c r="AE187" s="387"/>
      <c r="AF187" s="387"/>
      <c r="AG187" s="387"/>
      <c r="AH187" s="387"/>
    </row>
    <row r="188" spans="1:34">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c r="AE188" s="387"/>
      <c r="AF188" s="387"/>
      <c r="AG188" s="387"/>
      <c r="AH188" s="387"/>
    </row>
    <row r="189" spans="1:34">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c r="AE189" s="387"/>
      <c r="AF189" s="387"/>
      <c r="AG189" s="387"/>
      <c r="AH189" s="387"/>
    </row>
    <row r="190" spans="1:34">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c r="AE190" s="387"/>
      <c r="AF190" s="387"/>
      <c r="AG190" s="387"/>
      <c r="AH190" s="387"/>
    </row>
    <row r="191" spans="1:34">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c r="AE191" s="387"/>
      <c r="AF191" s="387"/>
      <c r="AG191" s="387"/>
      <c r="AH191" s="387"/>
    </row>
    <row r="192" spans="1:34">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c r="AE192" s="387"/>
      <c r="AF192" s="387"/>
      <c r="AG192" s="387"/>
      <c r="AH192" s="387"/>
    </row>
    <row r="193" spans="1:34">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c r="AE193" s="387"/>
      <c r="AF193" s="387"/>
      <c r="AG193" s="387"/>
      <c r="AH193" s="387"/>
    </row>
    <row r="194" spans="1:34">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c r="AE194" s="387"/>
      <c r="AF194" s="387"/>
      <c r="AG194" s="387"/>
      <c r="AH194" s="387"/>
    </row>
    <row r="195" spans="1:34">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c r="AE195" s="387"/>
      <c r="AF195" s="387"/>
      <c r="AG195" s="387"/>
      <c r="AH195" s="387"/>
    </row>
    <row r="196" spans="1:34">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c r="AE196" s="387"/>
      <c r="AF196" s="387"/>
      <c r="AG196" s="387"/>
      <c r="AH196" s="387"/>
    </row>
    <row r="197" spans="1:34">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c r="AE197" s="387"/>
      <c r="AF197" s="387"/>
      <c r="AG197" s="387"/>
      <c r="AH197" s="387"/>
    </row>
    <row r="198" spans="1:34">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c r="AE198" s="387"/>
      <c r="AF198" s="387"/>
      <c r="AG198" s="387"/>
      <c r="AH198" s="387"/>
    </row>
    <row r="199" spans="1:34">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c r="AE199" s="387"/>
      <c r="AF199" s="387"/>
      <c r="AG199" s="387"/>
      <c r="AH199" s="387"/>
    </row>
    <row r="200" spans="1:34">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c r="AE200" s="387"/>
      <c r="AF200" s="387"/>
      <c r="AG200" s="387"/>
      <c r="AH200" s="387"/>
    </row>
    <row r="201" spans="1:34">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c r="AE201" s="387"/>
      <c r="AF201" s="387"/>
      <c r="AG201" s="387"/>
      <c r="AH201" s="387"/>
    </row>
    <row r="202" spans="1:34">
      <c r="A202" s="387"/>
      <c r="B202" s="387"/>
      <c r="C202" s="387"/>
      <c r="D202" s="387"/>
      <c r="E202" s="387"/>
      <c r="F202" s="387"/>
      <c r="G202" s="387"/>
      <c r="H202" s="387"/>
      <c r="I202" s="387"/>
      <c r="J202" s="387"/>
      <c r="K202" s="387"/>
      <c r="L202" s="387"/>
      <c r="M202" s="387"/>
      <c r="N202" s="387"/>
      <c r="O202" s="387"/>
      <c r="P202" s="387"/>
      <c r="Q202" s="387"/>
      <c r="R202" s="387"/>
      <c r="S202" s="387"/>
      <c r="T202" s="387"/>
      <c r="U202" s="387"/>
      <c r="V202" s="387"/>
      <c r="W202" s="387"/>
      <c r="X202" s="387"/>
      <c r="Y202" s="387"/>
      <c r="Z202" s="387"/>
      <c r="AA202" s="387"/>
      <c r="AB202" s="387"/>
      <c r="AC202" s="387"/>
      <c r="AD202" s="387"/>
      <c r="AE202" s="387"/>
      <c r="AF202" s="387"/>
      <c r="AG202" s="387"/>
      <c r="AH202" s="387"/>
    </row>
    <row r="203" spans="1:34">
      <c r="A203" s="387"/>
      <c r="B203" s="387"/>
      <c r="C203" s="387"/>
      <c r="D203" s="387"/>
      <c r="E203" s="387"/>
      <c r="F203" s="387"/>
      <c r="G203" s="387"/>
      <c r="H203" s="387"/>
      <c r="I203" s="387"/>
      <c r="J203" s="387"/>
      <c r="K203" s="387"/>
      <c r="L203" s="387"/>
      <c r="M203" s="387"/>
      <c r="N203" s="387"/>
      <c r="O203" s="387"/>
      <c r="P203" s="387"/>
      <c r="Q203" s="387"/>
      <c r="R203" s="387"/>
      <c r="S203" s="387"/>
      <c r="T203" s="387"/>
      <c r="U203" s="387"/>
      <c r="V203" s="387"/>
      <c r="W203" s="387"/>
      <c r="X203" s="387"/>
      <c r="Y203" s="387"/>
      <c r="Z203" s="387"/>
      <c r="AA203" s="387"/>
      <c r="AB203" s="387"/>
      <c r="AC203" s="387"/>
      <c r="AD203" s="387"/>
      <c r="AE203" s="387"/>
      <c r="AF203" s="387"/>
      <c r="AG203" s="387"/>
      <c r="AH203" s="387"/>
    </row>
    <row r="204" spans="1:34">
      <c r="A204" s="387"/>
      <c r="B204" s="387"/>
      <c r="C204" s="387"/>
      <c r="D204" s="387"/>
      <c r="E204" s="387"/>
      <c r="F204" s="387"/>
      <c r="G204" s="387"/>
      <c r="H204" s="387"/>
      <c r="I204" s="387"/>
      <c r="J204" s="387"/>
      <c r="K204" s="387"/>
      <c r="L204" s="387"/>
      <c r="M204" s="387"/>
      <c r="N204" s="387"/>
      <c r="O204" s="387"/>
      <c r="P204" s="387"/>
      <c r="Q204" s="387"/>
      <c r="R204" s="387"/>
      <c r="S204" s="387"/>
      <c r="T204" s="387"/>
      <c r="U204" s="387"/>
      <c r="V204" s="387"/>
      <c r="W204" s="387"/>
      <c r="X204" s="387"/>
      <c r="Y204" s="387"/>
      <c r="Z204" s="387"/>
      <c r="AA204" s="387"/>
      <c r="AB204" s="387"/>
      <c r="AC204" s="387"/>
      <c r="AD204" s="387"/>
      <c r="AE204" s="387"/>
      <c r="AF204" s="387"/>
      <c r="AG204" s="387"/>
      <c r="AH204" s="387"/>
    </row>
    <row r="205" spans="1:34">
      <c r="A205" s="387"/>
      <c r="B205" s="387"/>
      <c r="C205" s="387"/>
      <c r="D205" s="387"/>
      <c r="E205" s="387"/>
      <c r="F205" s="387"/>
      <c r="G205" s="387"/>
      <c r="H205" s="387"/>
      <c r="I205" s="387"/>
      <c r="J205" s="387"/>
      <c r="K205" s="387"/>
      <c r="L205" s="387"/>
      <c r="M205" s="387"/>
      <c r="N205" s="387"/>
      <c r="O205" s="387"/>
      <c r="P205" s="387"/>
      <c r="Q205" s="387"/>
      <c r="R205" s="387"/>
      <c r="S205" s="387"/>
      <c r="T205" s="387"/>
      <c r="U205" s="387"/>
      <c r="V205" s="387"/>
      <c r="W205" s="387"/>
      <c r="X205" s="387"/>
      <c r="Y205" s="387"/>
      <c r="Z205" s="387"/>
      <c r="AA205" s="387"/>
      <c r="AB205" s="387"/>
      <c r="AC205" s="387"/>
      <c r="AD205" s="387"/>
      <c r="AE205" s="387"/>
      <c r="AF205" s="387"/>
      <c r="AG205" s="387"/>
      <c r="AH205" s="387"/>
    </row>
    <row r="206" spans="1:34">
      <c r="A206" s="387"/>
      <c r="B206" s="387"/>
      <c r="C206" s="387"/>
      <c r="D206" s="387"/>
      <c r="E206" s="387"/>
      <c r="F206" s="387"/>
      <c r="G206" s="387"/>
      <c r="H206" s="387"/>
      <c r="I206" s="387"/>
      <c r="J206" s="387"/>
      <c r="K206" s="387"/>
      <c r="L206" s="387"/>
      <c r="M206" s="387"/>
      <c r="N206" s="387"/>
      <c r="O206" s="387"/>
      <c r="P206" s="387"/>
      <c r="Q206" s="387"/>
      <c r="R206" s="387"/>
      <c r="S206" s="387"/>
      <c r="T206" s="387"/>
      <c r="U206" s="387"/>
      <c r="V206" s="387"/>
      <c r="W206" s="387"/>
      <c r="X206" s="387"/>
      <c r="Y206" s="387"/>
      <c r="Z206" s="387"/>
      <c r="AA206" s="387"/>
      <c r="AB206" s="387"/>
      <c r="AC206" s="387"/>
      <c r="AD206" s="387"/>
      <c r="AE206" s="387"/>
      <c r="AF206" s="387"/>
      <c r="AG206" s="387"/>
      <c r="AH206" s="387"/>
    </row>
    <row r="207" spans="1:34">
      <c r="A207" s="387"/>
      <c r="B207" s="387"/>
      <c r="C207" s="387"/>
      <c r="D207" s="387"/>
      <c r="E207" s="387"/>
      <c r="F207" s="387"/>
      <c r="G207" s="387"/>
      <c r="H207" s="387"/>
      <c r="I207" s="387"/>
      <c r="J207" s="387"/>
      <c r="K207" s="387"/>
      <c r="L207" s="387"/>
      <c r="M207" s="387"/>
      <c r="N207" s="387"/>
      <c r="O207" s="387"/>
      <c r="P207" s="387"/>
      <c r="Q207" s="387"/>
      <c r="R207" s="387"/>
      <c r="S207" s="387"/>
      <c r="T207" s="387"/>
      <c r="U207" s="387"/>
      <c r="V207" s="387"/>
      <c r="W207" s="387"/>
      <c r="X207" s="387"/>
      <c r="Y207" s="387"/>
      <c r="Z207" s="387"/>
      <c r="AA207" s="387"/>
      <c r="AB207" s="387"/>
      <c r="AC207" s="387"/>
      <c r="AD207" s="387"/>
      <c r="AE207" s="387"/>
      <c r="AF207" s="387"/>
      <c r="AG207" s="387"/>
      <c r="AH207" s="387"/>
    </row>
    <row r="208" spans="1:34">
      <c r="A208" s="387"/>
      <c r="B208" s="387"/>
      <c r="C208" s="387"/>
      <c r="D208" s="387"/>
      <c r="E208" s="387"/>
      <c r="F208" s="387"/>
      <c r="G208" s="387"/>
      <c r="H208" s="387"/>
      <c r="I208" s="387"/>
      <c r="J208" s="387"/>
      <c r="K208" s="387"/>
      <c r="L208" s="387"/>
      <c r="M208" s="387"/>
      <c r="N208" s="387"/>
      <c r="O208" s="387"/>
      <c r="P208" s="387"/>
      <c r="Q208" s="387"/>
      <c r="R208" s="387"/>
      <c r="S208" s="387"/>
      <c r="T208" s="387"/>
      <c r="U208" s="387"/>
      <c r="V208" s="387"/>
      <c r="W208" s="387"/>
      <c r="X208" s="387"/>
      <c r="Y208" s="387"/>
      <c r="Z208" s="387"/>
      <c r="AA208" s="387"/>
      <c r="AB208" s="387"/>
      <c r="AC208" s="387"/>
      <c r="AD208" s="387"/>
      <c r="AE208" s="387"/>
      <c r="AF208" s="387"/>
      <c r="AG208" s="387"/>
      <c r="AH208" s="387"/>
    </row>
    <row r="209" spans="1:34">
      <c r="A209" s="387"/>
      <c r="B209" s="387"/>
      <c r="C209" s="387"/>
      <c r="D209" s="387"/>
      <c r="E209" s="387"/>
      <c r="F209" s="387"/>
      <c r="G209" s="387"/>
      <c r="H209" s="387"/>
      <c r="I209" s="387"/>
      <c r="J209" s="387"/>
      <c r="K209" s="387"/>
      <c r="L209" s="387"/>
      <c r="M209" s="387"/>
      <c r="N209" s="387"/>
      <c r="O209" s="387"/>
      <c r="P209" s="387"/>
      <c r="Q209" s="387"/>
      <c r="R209" s="387"/>
      <c r="S209" s="387"/>
      <c r="T209" s="387"/>
      <c r="U209" s="387"/>
      <c r="V209" s="387"/>
      <c r="W209" s="387"/>
      <c r="X209" s="387"/>
      <c r="Y209" s="387"/>
      <c r="Z209" s="387"/>
      <c r="AA209" s="387"/>
      <c r="AB209" s="387"/>
      <c r="AC209" s="387"/>
      <c r="AD209" s="387"/>
      <c r="AE209" s="387"/>
      <c r="AF209" s="387"/>
      <c r="AG209" s="387"/>
      <c r="AH209" s="387"/>
    </row>
    <row r="210" spans="1:34">
      <c r="A210" s="387"/>
      <c r="B210" s="387"/>
      <c r="C210" s="387"/>
      <c r="D210" s="387"/>
      <c r="E210" s="387"/>
      <c r="F210" s="387"/>
      <c r="G210" s="387"/>
      <c r="H210" s="387"/>
      <c r="I210" s="387"/>
      <c r="J210" s="387"/>
      <c r="K210" s="387"/>
      <c r="L210" s="387"/>
      <c r="M210" s="387"/>
      <c r="N210" s="387"/>
      <c r="O210" s="387"/>
      <c r="P210" s="387"/>
      <c r="Q210" s="387"/>
      <c r="R210" s="387"/>
      <c r="S210" s="387"/>
      <c r="T210" s="387"/>
      <c r="U210" s="387"/>
      <c r="V210" s="387"/>
      <c r="W210" s="387"/>
      <c r="X210" s="387"/>
      <c r="Y210" s="387"/>
      <c r="Z210" s="387"/>
      <c r="AA210" s="387"/>
      <c r="AB210" s="387"/>
      <c r="AC210" s="387"/>
      <c r="AD210" s="387"/>
      <c r="AE210" s="387"/>
      <c r="AF210" s="387"/>
      <c r="AG210" s="387"/>
      <c r="AH210" s="387"/>
    </row>
    <row r="211" spans="1:34">
      <c r="A211" s="387"/>
      <c r="B211" s="387"/>
      <c r="C211" s="387"/>
      <c r="D211" s="387"/>
      <c r="E211" s="387"/>
      <c r="F211" s="387"/>
      <c r="G211" s="387"/>
      <c r="H211" s="387"/>
      <c r="I211" s="387"/>
      <c r="J211" s="387"/>
      <c r="K211" s="387"/>
      <c r="L211" s="387"/>
      <c r="M211" s="387"/>
      <c r="N211" s="387"/>
      <c r="O211" s="387"/>
      <c r="P211" s="387"/>
      <c r="Q211" s="387"/>
      <c r="R211" s="387"/>
      <c r="S211" s="387"/>
      <c r="T211" s="387"/>
      <c r="U211" s="387"/>
      <c r="V211" s="387"/>
      <c r="W211" s="387"/>
      <c r="X211" s="387"/>
      <c r="Y211" s="387"/>
      <c r="Z211" s="387"/>
      <c r="AA211" s="387"/>
      <c r="AB211" s="387"/>
      <c r="AC211" s="387"/>
      <c r="AD211" s="387"/>
      <c r="AE211" s="387"/>
      <c r="AF211" s="387"/>
      <c r="AG211" s="387"/>
      <c r="AH211" s="387"/>
    </row>
    <row r="212" spans="1:34">
      <c r="A212" s="387"/>
      <c r="B212" s="387"/>
      <c r="C212" s="387"/>
      <c r="D212" s="387"/>
      <c r="E212" s="387"/>
      <c r="F212" s="387"/>
      <c r="G212" s="387"/>
      <c r="H212" s="387"/>
      <c r="I212" s="387"/>
      <c r="J212" s="387"/>
      <c r="K212" s="387"/>
      <c r="L212" s="387"/>
      <c r="M212" s="387"/>
      <c r="N212" s="387"/>
      <c r="O212" s="387"/>
      <c r="P212" s="387"/>
      <c r="Q212" s="387"/>
      <c r="R212" s="387"/>
      <c r="S212" s="387"/>
      <c r="T212" s="387"/>
      <c r="U212" s="387"/>
      <c r="V212" s="387"/>
      <c r="W212" s="387"/>
      <c r="X212" s="387"/>
      <c r="Y212" s="387"/>
      <c r="Z212" s="387"/>
      <c r="AA212" s="387"/>
      <c r="AB212" s="387"/>
      <c r="AC212" s="387"/>
      <c r="AD212" s="387"/>
      <c r="AE212" s="387"/>
      <c r="AF212" s="387"/>
      <c r="AG212" s="387"/>
      <c r="AH212" s="387"/>
    </row>
    <row r="213" spans="1:34">
      <c r="A213" s="387"/>
      <c r="B213" s="387"/>
      <c r="C213" s="387"/>
      <c r="D213" s="387"/>
      <c r="E213" s="387"/>
      <c r="F213" s="387"/>
      <c r="G213" s="387"/>
      <c r="H213" s="387"/>
      <c r="I213" s="387"/>
      <c r="J213" s="387"/>
      <c r="K213" s="387"/>
      <c r="L213" s="387"/>
      <c r="M213" s="387"/>
      <c r="N213" s="387"/>
      <c r="O213" s="387"/>
      <c r="P213" s="387"/>
      <c r="Q213" s="387"/>
      <c r="R213" s="387"/>
      <c r="S213" s="387"/>
      <c r="T213" s="387"/>
      <c r="U213" s="387"/>
      <c r="V213" s="387"/>
      <c r="W213" s="387"/>
      <c r="X213" s="387"/>
      <c r="Y213" s="387"/>
      <c r="Z213" s="387"/>
      <c r="AA213" s="387"/>
      <c r="AB213" s="387"/>
      <c r="AC213" s="387"/>
      <c r="AD213" s="387"/>
      <c r="AE213" s="387"/>
      <c r="AF213" s="387"/>
      <c r="AG213" s="387"/>
      <c r="AH213" s="387"/>
    </row>
  </sheetData>
  <sheetProtection sheet="1"/>
  <mergeCells count="29">
    <mergeCell ref="B12:C12"/>
    <mergeCell ref="J17:K17"/>
    <mergeCell ref="A18:I18"/>
    <mergeCell ref="D12:I12"/>
    <mergeCell ref="A101:B101"/>
    <mergeCell ref="A19:I19"/>
    <mergeCell ref="A16:I16"/>
    <mergeCell ref="J16:K16"/>
    <mergeCell ref="A17:I17"/>
    <mergeCell ref="A20:I20"/>
    <mergeCell ref="F38:H38"/>
    <mergeCell ref="F37:H37"/>
    <mergeCell ref="J18:K18"/>
    <mergeCell ref="A3:H3"/>
    <mergeCell ref="A86:B86"/>
    <mergeCell ref="A87:B87"/>
    <mergeCell ref="B7:C7"/>
    <mergeCell ref="B8:C8"/>
    <mergeCell ref="B9:C9"/>
    <mergeCell ref="B10:C10"/>
    <mergeCell ref="B24:I24"/>
    <mergeCell ref="A27:I27"/>
    <mergeCell ref="A6:I6"/>
    <mergeCell ref="D7:I7"/>
    <mergeCell ref="D8:I8"/>
    <mergeCell ref="D9:I9"/>
    <mergeCell ref="D10:I10"/>
    <mergeCell ref="D11:I11"/>
    <mergeCell ref="B11:C11"/>
  </mergeCells>
  <dataValidations count="2">
    <dataValidation type="list" allowBlank="1" showInputMessage="1" showErrorMessage="1" sqref="G49" xr:uid="{00000000-0002-0000-1C00-000000000000}">
      <formula1>Fuel_Type</formula1>
    </dataValidation>
    <dataValidation type="list" allowBlank="1" showInputMessage="1" showErrorMessage="1" sqref="D42:D43" xr:uid="{00000000-0002-0000-1C00-000001000000}">
      <formula1>eGRID_Subregions</formula1>
    </dataValidation>
  </dataValidations>
  <hyperlinks>
    <hyperlink ref="B47" r:id="rId1" xr:uid="{00000000-0004-0000-1C00-000000000000}"/>
  </hyperlinks>
  <pageMargins left="0.25" right="0.25" top="0.25" bottom="0.5" header="0.5" footer="0.25"/>
  <pageSetup scale="66" orientation="portrait" r:id="rId2"/>
  <headerFooter alignWithMargins="0">
    <oddFooter>&amp;L&amp;"Arial,Italic"&amp;9EPA Climate Leaders Simplified GHG Emissions Calculator (Direct 1.0)&amp;R&amp;"Arial,Italic"&amp;9&amp;P of &amp;N</oddFooter>
  </headerFooter>
  <colBreaks count="1" manualBreakCount="1">
    <brk id="11" max="1048575" man="1"/>
  </colBreaks>
  <drawing r:id="rId3"/>
  <legacyDrawing r:id="rId4"/>
  <controls>
    <mc:AlternateContent xmlns:mc="http://schemas.openxmlformats.org/markup-compatibility/2006">
      <mc:Choice Requires="x14">
        <control shapeId="32769" r:id="rId5" name="CommandButton1">
          <controlPr autoLine="0" r:id="rId6">
            <anchor moveWithCells="1" sizeWithCells="1">
              <from>
                <xdr:col>0</xdr:col>
                <xdr:colOff>600075</xdr:colOff>
                <xdr:row>0</xdr:row>
                <xdr:rowOff>238125</xdr:rowOff>
              </from>
              <to>
                <xdr:col>1</xdr:col>
                <xdr:colOff>866775</xdr:colOff>
                <xdr:row>1</xdr:row>
                <xdr:rowOff>238125</xdr:rowOff>
              </to>
            </anchor>
          </controlPr>
        </control>
      </mc:Choice>
      <mc:Fallback>
        <control shapeId="32769" r:id="rId5" name="CommandButton1"/>
      </mc:Fallback>
    </mc:AlternateContent>
    <mc:AlternateContent xmlns:mc="http://schemas.openxmlformats.org/markup-compatibility/2006">
      <mc:Choice Requires="x14">
        <control shapeId="32770" r:id="rId7" name="CommandButton2">
          <controlPr autoLine="0" r:id="rId8">
            <anchor moveWithCells="1" sizeWithCells="1">
              <from>
                <xdr:col>1</xdr:col>
                <xdr:colOff>1066800</xdr:colOff>
                <xdr:row>0</xdr:row>
                <xdr:rowOff>228600</xdr:rowOff>
              </from>
              <to>
                <xdr:col>3</xdr:col>
                <xdr:colOff>228600</xdr:colOff>
                <xdr:row>1</xdr:row>
                <xdr:rowOff>228600</xdr:rowOff>
              </to>
            </anchor>
          </controlPr>
        </control>
      </mc:Choice>
      <mc:Fallback>
        <control shapeId="32770" r:id="rId7" name="CommandButton2"/>
      </mc:Fallback>
    </mc:AlternateContent>
    <mc:AlternateContent xmlns:mc="http://schemas.openxmlformats.org/markup-compatibility/2006">
      <mc:Choice Requires="x14">
        <control shapeId="33326" r:id="rId9" name="CommandButton3">
          <controlPr autoLine="0" r:id="rId10">
            <anchor moveWithCells="1" sizeWithCells="1">
              <from>
                <xdr:col>3</xdr:col>
                <xdr:colOff>352425</xdr:colOff>
                <xdr:row>0</xdr:row>
                <xdr:rowOff>228600</xdr:rowOff>
              </from>
              <to>
                <xdr:col>3</xdr:col>
                <xdr:colOff>1647825</xdr:colOff>
                <xdr:row>1</xdr:row>
                <xdr:rowOff>228600</xdr:rowOff>
              </to>
            </anchor>
          </controlPr>
        </control>
      </mc:Choice>
      <mc:Fallback>
        <control shapeId="33326" r:id="rId9" name="CommandButton3"/>
      </mc:Fallback>
    </mc:AlternateContent>
    <mc:AlternateContent xmlns:mc="http://schemas.openxmlformats.org/markup-compatibility/2006">
      <mc:Choice Requires="x14">
        <control shapeId="33444" r:id="rId11" name="CommandButton4">
          <controlPr autoLine="0" r:id="rId12">
            <anchor moveWithCells="1" sizeWithCells="1">
              <from>
                <xdr:col>4</xdr:col>
                <xdr:colOff>47625</xdr:colOff>
                <xdr:row>0</xdr:row>
                <xdr:rowOff>228600</xdr:rowOff>
              </from>
              <to>
                <xdr:col>5</xdr:col>
                <xdr:colOff>400050</xdr:colOff>
                <xdr:row>1</xdr:row>
                <xdr:rowOff>228600</xdr:rowOff>
              </to>
            </anchor>
          </controlPr>
        </control>
      </mc:Choice>
      <mc:Fallback>
        <control shapeId="33444" r:id="rId11" name="CommandButton4"/>
      </mc:Fallback>
    </mc:AlternateContent>
    <mc:AlternateContent xmlns:mc="http://schemas.openxmlformats.org/markup-compatibility/2006">
      <mc:Choice Requires="x14">
        <control shapeId="33445" r:id="rId13" name="CommandButton5">
          <controlPr autoLine="0" r:id="rId14">
            <anchor moveWithCells="1" sizeWithCells="1">
              <from>
                <xdr:col>5</xdr:col>
                <xdr:colOff>523875</xdr:colOff>
                <xdr:row>0</xdr:row>
                <xdr:rowOff>228600</xdr:rowOff>
              </from>
              <to>
                <xdr:col>6</xdr:col>
                <xdr:colOff>866775</xdr:colOff>
                <xdr:row>1</xdr:row>
                <xdr:rowOff>228600</xdr:rowOff>
              </to>
            </anchor>
          </controlPr>
        </control>
      </mc:Choice>
      <mc:Fallback>
        <control shapeId="33445" r:id="rId13" name="CommandButton5"/>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Z90"/>
  <sheetViews>
    <sheetView topLeftCell="A13" zoomScaleNormal="100" zoomScaleSheetLayoutView="55" workbookViewId="0">
      <selection activeCell="E46" sqref="E46"/>
    </sheetView>
  </sheetViews>
  <sheetFormatPr defaultRowHeight="12.75"/>
  <cols>
    <col min="2" max="2" width="20.140625" bestFit="1" customWidth="1"/>
    <col min="3" max="3" width="22.5703125" bestFit="1" customWidth="1"/>
    <col min="4" max="4" width="21.140625" customWidth="1"/>
    <col min="5" max="5" width="11.28515625" bestFit="1" customWidth="1"/>
  </cols>
  <sheetData>
    <row r="1" spans="1:26"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row>
    <row r="2" spans="1:26"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row>
    <row r="3" spans="1:26" ht="20.25">
      <c r="A3" s="750" t="s">
        <v>474</v>
      </c>
      <c r="B3" s="751"/>
      <c r="C3" s="751"/>
      <c r="D3" s="751"/>
      <c r="E3" s="751"/>
      <c r="F3" s="751"/>
      <c r="G3" s="230"/>
      <c r="H3" s="230"/>
      <c r="I3" s="230"/>
      <c r="J3" s="230"/>
      <c r="K3" s="230"/>
      <c r="L3" s="230"/>
      <c r="M3" s="230"/>
      <c r="N3" s="230"/>
      <c r="O3" s="230"/>
      <c r="P3" s="230"/>
      <c r="Q3" s="230"/>
      <c r="R3" s="230"/>
      <c r="S3" s="230"/>
      <c r="T3" s="230"/>
      <c r="U3" s="230"/>
      <c r="V3" s="230"/>
      <c r="W3" s="230"/>
      <c r="X3" s="230"/>
      <c r="Y3" s="230"/>
      <c r="Z3" s="230"/>
    </row>
    <row r="4" spans="1:26">
      <c r="A4" s="362"/>
      <c r="B4" s="324"/>
      <c r="C4" s="324"/>
      <c r="D4" s="324"/>
      <c r="E4" s="324"/>
      <c r="F4" s="324"/>
      <c r="G4" s="230"/>
      <c r="H4" s="230"/>
      <c r="I4" s="230"/>
      <c r="J4" s="230"/>
      <c r="K4" s="230"/>
      <c r="L4" s="230"/>
      <c r="M4" s="230"/>
      <c r="N4" s="230"/>
      <c r="O4" s="230"/>
      <c r="P4" s="230"/>
      <c r="Q4" s="230"/>
      <c r="R4" s="230"/>
      <c r="S4" s="230"/>
      <c r="T4" s="230"/>
      <c r="U4" s="230"/>
      <c r="V4" s="230"/>
      <c r="W4" s="230"/>
      <c r="X4" s="230"/>
      <c r="Y4" s="230"/>
      <c r="Z4" s="230"/>
    </row>
    <row r="5" spans="1:26" ht="15">
      <c r="A5" s="749" t="s">
        <v>346</v>
      </c>
      <c r="B5" s="691"/>
      <c r="C5" s="691"/>
      <c r="D5" s="691"/>
      <c r="E5" s="691"/>
      <c r="F5" s="691"/>
      <c r="G5" s="696"/>
      <c r="H5" s="696"/>
      <c r="I5" s="230"/>
      <c r="J5" s="230"/>
      <c r="K5" s="230"/>
      <c r="L5" s="230"/>
      <c r="M5" s="230"/>
      <c r="N5" s="230"/>
      <c r="O5" s="230"/>
      <c r="P5" s="230"/>
      <c r="Q5" s="230"/>
      <c r="R5" s="230"/>
      <c r="S5" s="230"/>
      <c r="T5" s="230"/>
      <c r="U5" s="230"/>
      <c r="V5" s="230"/>
      <c r="W5" s="230"/>
      <c r="X5" s="230"/>
      <c r="Y5" s="230"/>
      <c r="Z5" s="230"/>
    </row>
    <row r="6" spans="1:26" ht="27.75" customHeight="1">
      <c r="A6" s="1181" t="s">
        <v>802</v>
      </c>
      <c r="B6" s="1181"/>
      <c r="C6" s="1181"/>
      <c r="D6" s="1181"/>
      <c r="E6" s="1181"/>
      <c r="F6" s="1181"/>
      <c r="G6" s="696"/>
      <c r="H6" s="696"/>
      <c r="I6" s="230"/>
      <c r="J6" s="230"/>
      <c r="K6" s="230"/>
      <c r="L6" s="230"/>
      <c r="M6" s="230"/>
      <c r="N6" s="230"/>
      <c r="O6" s="230"/>
      <c r="P6" s="230"/>
      <c r="Q6" s="230"/>
      <c r="R6" s="230"/>
      <c r="S6" s="230"/>
      <c r="T6" s="230"/>
      <c r="U6" s="230"/>
      <c r="V6" s="230"/>
      <c r="W6" s="230"/>
      <c r="X6" s="230"/>
      <c r="Y6" s="230"/>
      <c r="Z6" s="230"/>
    </row>
    <row r="7" spans="1:26" ht="14.25">
      <c r="A7" s="691"/>
      <c r="B7" s="688"/>
      <c r="C7" s="688"/>
      <c r="D7" s="697"/>
      <c r="E7" s="688"/>
      <c r="F7" s="688"/>
      <c r="G7" s="688"/>
      <c r="H7" s="688"/>
      <c r="I7" s="452"/>
      <c r="J7" s="452"/>
      <c r="K7" s="452"/>
      <c r="L7" s="230"/>
      <c r="M7" s="230"/>
      <c r="N7" s="359"/>
      <c r="O7" s="230"/>
      <c r="P7" s="230"/>
      <c r="Q7" s="230"/>
      <c r="R7" s="230"/>
      <c r="S7" s="230"/>
      <c r="T7" s="230"/>
      <c r="U7" s="230"/>
      <c r="V7" s="230"/>
      <c r="W7" s="230"/>
      <c r="X7" s="230"/>
      <c r="Y7" s="230"/>
      <c r="Z7" s="230"/>
    </row>
    <row r="8" spans="1:26" ht="15">
      <c r="A8" s="695" t="s">
        <v>393</v>
      </c>
      <c r="B8" s="696"/>
      <c r="C8" s="696"/>
      <c r="D8" s="696"/>
      <c r="E8" s="696"/>
      <c r="F8" s="696"/>
      <c r="G8" s="696"/>
      <c r="H8" s="696"/>
      <c r="I8" s="230"/>
      <c r="J8" s="230"/>
      <c r="K8" s="230"/>
      <c r="L8" s="230"/>
      <c r="M8" s="230"/>
      <c r="N8" s="230"/>
      <c r="O8" s="230"/>
      <c r="P8" s="230"/>
      <c r="Q8" s="230"/>
      <c r="R8" s="230"/>
      <c r="S8" s="230"/>
      <c r="T8" s="230"/>
      <c r="U8" s="230"/>
      <c r="V8" s="230"/>
      <c r="W8" s="230"/>
      <c r="X8" s="230"/>
      <c r="Y8" s="230"/>
      <c r="Z8" s="230"/>
    </row>
    <row r="9" spans="1:26" ht="30" customHeight="1">
      <c r="A9" s="1180" t="s">
        <v>1068</v>
      </c>
      <c r="B9" s="1180"/>
      <c r="C9" s="1180"/>
      <c r="D9" s="1180"/>
      <c r="E9" s="1180"/>
      <c r="F9" s="1180"/>
      <c r="G9" s="696"/>
      <c r="H9" s="696"/>
      <c r="I9" s="230"/>
      <c r="J9" s="230"/>
      <c r="K9" s="230"/>
      <c r="L9" s="230"/>
      <c r="M9" s="230"/>
      <c r="N9" s="230"/>
      <c r="O9" s="230"/>
      <c r="P9" s="230"/>
      <c r="Q9" s="230"/>
      <c r="R9" s="230"/>
      <c r="S9" s="230"/>
      <c r="T9" s="230"/>
      <c r="U9" s="230"/>
      <c r="V9" s="230"/>
      <c r="W9" s="230"/>
      <c r="X9" s="230"/>
      <c r="Y9" s="230"/>
      <c r="Z9" s="230"/>
    </row>
    <row r="10" spans="1:26" ht="14.25">
      <c r="A10" s="696"/>
      <c r="B10" s="698" t="s">
        <v>395</v>
      </c>
      <c r="C10" s="696"/>
      <c r="D10" s="696"/>
      <c r="E10" s="696"/>
      <c r="F10" s="696"/>
      <c r="G10" s="696"/>
      <c r="H10" s="696"/>
      <c r="I10" s="230"/>
      <c r="J10" s="230"/>
      <c r="K10" s="230"/>
      <c r="L10" s="230"/>
      <c r="M10" s="230"/>
      <c r="N10" s="230"/>
      <c r="O10" s="230"/>
      <c r="P10" s="230"/>
      <c r="Q10" s="230"/>
      <c r="R10" s="230"/>
      <c r="S10" s="230"/>
      <c r="T10" s="230"/>
      <c r="U10" s="230"/>
      <c r="V10" s="230"/>
      <c r="W10" s="230"/>
      <c r="X10" s="230"/>
      <c r="Y10" s="230"/>
      <c r="Z10" s="230"/>
    </row>
    <row r="11" spans="1:26" ht="14.25">
      <c r="A11" s="696"/>
      <c r="B11" s="698" t="s">
        <v>396</v>
      </c>
      <c r="C11" s="696"/>
      <c r="D11" s="696"/>
      <c r="E11" s="696"/>
      <c r="F11" s="696"/>
      <c r="G11" s="696"/>
      <c r="H11" s="696"/>
      <c r="I11" s="230"/>
      <c r="J11" s="230"/>
      <c r="K11" s="230"/>
      <c r="L11" s="230"/>
      <c r="M11" s="230"/>
      <c r="N11" s="230"/>
      <c r="O11" s="230"/>
      <c r="P11" s="230"/>
      <c r="Q11" s="230"/>
      <c r="R11" s="230"/>
      <c r="S11" s="230"/>
      <c r="T11" s="230"/>
      <c r="U11" s="230"/>
      <c r="V11" s="230"/>
      <c r="W11" s="230"/>
      <c r="X11" s="230"/>
      <c r="Y11" s="230"/>
      <c r="Z11" s="230"/>
    </row>
    <row r="12" spans="1:26" ht="14.25">
      <c r="A12" s="696"/>
      <c r="B12" s="698" t="s">
        <v>397</v>
      </c>
      <c r="C12" s="696"/>
      <c r="D12" s="696"/>
      <c r="E12" s="696"/>
      <c r="F12" s="696"/>
      <c r="G12" s="696"/>
      <c r="H12" s="696"/>
      <c r="I12" s="230"/>
      <c r="J12" s="230"/>
      <c r="K12" s="230"/>
      <c r="L12" s="230"/>
      <c r="M12" s="230"/>
      <c r="N12" s="230"/>
      <c r="O12" s="230"/>
      <c r="P12" s="230"/>
      <c r="Q12" s="230"/>
      <c r="R12" s="230"/>
      <c r="S12" s="230"/>
      <c r="T12" s="230"/>
      <c r="U12" s="230"/>
      <c r="V12" s="230"/>
      <c r="W12" s="230"/>
      <c r="X12" s="230"/>
      <c r="Y12" s="230"/>
      <c r="Z12" s="230"/>
    </row>
    <row r="13" spans="1:26" ht="6.75" customHeight="1">
      <c r="A13" s="696"/>
      <c r="B13" s="696"/>
      <c r="C13" s="696"/>
      <c r="D13" s="696"/>
      <c r="E13" s="696"/>
      <c r="F13" s="696"/>
      <c r="G13" s="696"/>
      <c r="H13" s="696"/>
      <c r="I13" s="230"/>
      <c r="J13" s="230"/>
      <c r="K13" s="230"/>
      <c r="L13" s="230"/>
      <c r="M13" s="230"/>
      <c r="N13" s="230"/>
      <c r="O13" s="230"/>
      <c r="P13" s="230"/>
      <c r="Q13" s="230"/>
      <c r="R13" s="230"/>
      <c r="S13" s="230"/>
      <c r="T13" s="230"/>
      <c r="U13" s="230"/>
      <c r="V13" s="230"/>
      <c r="W13" s="230"/>
      <c r="X13" s="230"/>
      <c r="Y13" s="230"/>
      <c r="Z13" s="230"/>
    </row>
    <row r="14" spans="1:26" ht="46.5" customHeight="1">
      <c r="A14" s="1180" t="s">
        <v>804</v>
      </c>
      <c r="B14" s="1180"/>
      <c r="C14" s="1180"/>
      <c r="D14" s="1180"/>
      <c r="E14" s="1180"/>
      <c r="F14" s="1180"/>
      <c r="G14" s="699"/>
      <c r="H14" s="699"/>
      <c r="I14" s="230"/>
      <c r="J14" s="230"/>
      <c r="K14" s="230"/>
      <c r="L14" s="230"/>
      <c r="M14" s="230"/>
      <c r="N14" s="230"/>
      <c r="O14" s="230"/>
      <c r="P14" s="230"/>
      <c r="Q14" s="230"/>
      <c r="R14" s="230"/>
      <c r="S14" s="230"/>
      <c r="T14" s="230"/>
      <c r="U14" s="230"/>
      <c r="V14" s="230"/>
      <c r="W14" s="230"/>
      <c r="X14" s="230"/>
      <c r="Y14" s="230"/>
      <c r="Z14" s="230"/>
    </row>
    <row r="15" spans="1:26" ht="19.5" customHeight="1" thickBot="1">
      <c r="A15" s="1183" t="s">
        <v>398</v>
      </c>
      <c r="B15" s="1183"/>
      <c r="C15" s="1183"/>
      <c r="D15" s="1183"/>
      <c r="E15" s="1183"/>
      <c r="F15" s="1183"/>
      <c r="G15" s="1183"/>
      <c r="H15" s="1183"/>
      <c r="I15" s="230"/>
      <c r="J15" s="230"/>
      <c r="K15" s="230"/>
      <c r="L15" s="230"/>
      <c r="M15" s="230"/>
      <c r="N15" s="230"/>
      <c r="O15" s="230"/>
      <c r="P15" s="230"/>
      <c r="Q15" s="230"/>
      <c r="R15" s="230"/>
      <c r="S15" s="230"/>
      <c r="T15" s="230"/>
      <c r="U15" s="230"/>
      <c r="V15" s="230"/>
      <c r="W15" s="230"/>
      <c r="X15" s="230"/>
      <c r="Y15" s="230"/>
      <c r="Z15" s="230"/>
    </row>
    <row r="16" spans="1:26" ht="15.75" thickBot="1">
      <c r="A16" s="700" t="s">
        <v>148</v>
      </c>
      <c r="B16" s="701"/>
      <c r="C16" s="701"/>
      <c r="D16" s="702"/>
      <c r="E16" s="703" t="s">
        <v>391</v>
      </c>
      <c r="F16" s="696"/>
      <c r="G16" s="696"/>
      <c r="H16" s="696"/>
      <c r="I16" s="230"/>
      <c r="J16" s="230"/>
      <c r="K16" s="230"/>
      <c r="L16" s="230"/>
      <c r="M16" s="230"/>
      <c r="N16" s="230"/>
      <c r="O16" s="230"/>
      <c r="P16" s="230"/>
      <c r="Q16" s="230"/>
      <c r="R16" s="230"/>
      <c r="S16" s="230"/>
      <c r="T16" s="230"/>
      <c r="U16" s="230"/>
      <c r="V16" s="230"/>
      <c r="W16" s="230"/>
      <c r="X16" s="230"/>
      <c r="Y16" s="230"/>
      <c r="Z16" s="230"/>
    </row>
    <row r="17" spans="1:26" ht="30" customHeight="1" thickBot="1">
      <c r="A17" s="1185" t="s">
        <v>803</v>
      </c>
      <c r="B17" s="1186"/>
      <c r="C17" s="1186"/>
      <c r="D17" s="1187"/>
      <c r="E17" s="704" t="s">
        <v>1392</v>
      </c>
      <c r="F17" s="696"/>
      <c r="G17" s="696"/>
      <c r="H17" s="696"/>
      <c r="I17" s="230"/>
      <c r="J17" s="230"/>
      <c r="K17" s="230"/>
      <c r="L17" s="230"/>
      <c r="M17" s="230"/>
      <c r="N17" s="230"/>
      <c r="O17" s="230"/>
      <c r="P17" s="230"/>
      <c r="Q17" s="230"/>
      <c r="R17" s="230"/>
      <c r="S17" s="230"/>
      <c r="T17" s="230"/>
      <c r="U17" s="230"/>
      <c r="V17" s="230"/>
      <c r="W17" s="230"/>
      <c r="X17" s="230"/>
      <c r="Y17" s="230"/>
      <c r="Z17" s="230"/>
    </row>
    <row r="18" spans="1:26" ht="15.75" thickBot="1">
      <c r="A18" s="700" t="s">
        <v>149</v>
      </c>
      <c r="B18" s="701"/>
      <c r="C18" s="701"/>
      <c r="D18" s="702"/>
      <c r="E18" s="705"/>
      <c r="F18" s="696"/>
      <c r="G18" s="696"/>
      <c r="H18" s="696"/>
      <c r="I18" s="230"/>
      <c r="J18" s="230"/>
      <c r="K18" s="230"/>
      <c r="L18" s="230"/>
      <c r="M18" s="230"/>
      <c r="N18" s="230"/>
      <c r="O18" s="230"/>
      <c r="P18" s="230"/>
      <c r="Q18" s="230"/>
      <c r="R18" s="230"/>
      <c r="S18" s="230"/>
      <c r="T18" s="230"/>
      <c r="U18" s="230"/>
      <c r="V18" s="230"/>
      <c r="W18" s="230"/>
      <c r="X18" s="230"/>
      <c r="Y18" s="230"/>
      <c r="Z18" s="230"/>
    </row>
    <row r="19" spans="1:26" ht="43.5" customHeight="1" thickBot="1">
      <c r="A19" s="1188" t="s">
        <v>1121</v>
      </c>
      <c r="B19" s="1189"/>
      <c r="C19" s="1189"/>
      <c r="D19" s="1190"/>
      <c r="E19" s="704" t="s">
        <v>1393</v>
      </c>
      <c r="F19" s="696"/>
      <c r="G19" s="696"/>
      <c r="H19" s="696"/>
      <c r="I19" s="230"/>
      <c r="J19" s="230"/>
      <c r="K19" s="230"/>
      <c r="L19" s="230"/>
      <c r="M19" s="230"/>
      <c r="N19" s="230"/>
      <c r="O19" s="230"/>
      <c r="P19" s="230"/>
      <c r="Q19" s="230"/>
      <c r="R19" s="230"/>
      <c r="S19" s="230"/>
      <c r="T19" s="230"/>
      <c r="U19" s="230"/>
      <c r="V19" s="230"/>
      <c r="W19" s="230"/>
      <c r="X19" s="230"/>
      <c r="Y19" s="230"/>
      <c r="Z19" s="230"/>
    </row>
    <row r="20" spans="1:26" ht="15.75" thickBot="1">
      <c r="A20" s="700" t="s">
        <v>477</v>
      </c>
      <c r="B20" s="701"/>
      <c r="C20" s="701"/>
      <c r="D20" s="702"/>
      <c r="E20" s="705"/>
      <c r="F20" s="696"/>
      <c r="G20" s="696"/>
      <c r="H20" s="696"/>
      <c r="I20" s="230"/>
      <c r="J20" s="230"/>
      <c r="K20" s="230"/>
      <c r="L20" s="230"/>
      <c r="M20" s="230"/>
      <c r="N20" s="230"/>
      <c r="O20" s="230"/>
      <c r="P20" s="230"/>
      <c r="Q20" s="230"/>
      <c r="R20" s="230"/>
      <c r="S20" s="230"/>
      <c r="T20" s="230"/>
      <c r="U20" s="230"/>
      <c r="V20" s="230"/>
      <c r="W20" s="230"/>
      <c r="X20" s="230"/>
      <c r="Y20" s="230"/>
      <c r="Z20" s="230"/>
    </row>
    <row r="21" spans="1:26" ht="15" thickBot="1">
      <c r="A21" s="1188" t="s">
        <v>478</v>
      </c>
      <c r="B21" s="1189"/>
      <c r="C21" s="1189"/>
      <c r="D21" s="1190"/>
      <c r="E21" s="704" t="s">
        <v>1393</v>
      </c>
      <c r="F21" s="696"/>
      <c r="G21" s="696"/>
      <c r="H21" s="696"/>
      <c r="I21" s="230"/>
      <c r="J21" s="230"/>
      <c r="K21" s="230"/>
      <c r="L21" s="230"/>
      <c r="M21" s="230"/>
      <c r="N21" s="230"/>
      <c r="O21" s="230"/>
      <c r="P21" s="230"/>
      <c r="Q21" s="230"/>
      <c r="R21" s="230"/>
      <c r="S21" s="230"/>
      <c r="T21" s="230"/>
      <c r="U21" s="230"/>
      <c r="V21" s="230"/>
      <c r="W21" s="230"/>
      <c r="X21" s="230"/>
      <c r="Y21" s="230"/>
      <c r="Z21" s="230"/>
    </row>
    <row r="22" spans="1:26" ht="15.75" thickBot="1">
      <c r="A22" s="700" t="s">
        <v>331</v>
      </c>
      <c r="B22" s="701"/>
      <c r="C22" s="701"/>
      <c r="D22" s="702"/>
      <c r="E22" s="705"/>
      <c r="F22" s="696"/>
      <c r="G22" s="696"/>
      <c r="H22" s="696"/>
      <c r="I22" s="230"/>
      <c r="J22" s="230"/>
      <c r="K22" s="230"/>
      <c r="L22" s="230"/>
      <c r="M22" s="230"/>
      <c r="N22" s="230"/>
      <c r="O22" s="230"/>
      <c r="P22" s="230"/>
      <c r="Q22" s="230"/>
      <c r="R22" s="230"/>
      <c r="S22" s="230"/>
      <c r="T22" s="230"/>
      <c r="U22" s="230"/>
      <c r="V22" s="230"/>
      <c r="W22" s="230"/>
      <c r="X22" s="230"/>
      <c r="Y22" s="230"/>
      <c r="Z22" s="230"/>
    </row>
    <row r="23" spans="1:26" ht="15" thickBot="1">
      <c r="A23" s="1188" t="s">
        <v>480</v>
      </c>
      <c r="B23" s="1189"/>
      <c r="C23" s="1189"/>
      <c r="D23" s="1190"/>
      <c r="E23" s="704" t="s">
        <v>1392</v>
      </c>
      <c r="F23" s="696"/>
      <c r="G23" s="696"/>
      <c r="H23" s="696"/>
      <c r="I23" s="230"/>
      <c r="J23" s="230"/>
      <c r="K23" s="230"/>
      <c r="L23" s="230"/>
      <c r="M23" s="230"/>
      <c r="N23" s="230"/>
      <c r="O23" s="230"/>
      <c r="P23" s="230"/>
      <c r="Q23" s="230"/>
      <c r="R23" s="230"/>
      <c r="S23" s="230"/>
      <c r="T23" s="230"/>
      <c r="U23" s="230"/>
      <c r="V23" s="230"/>
      <c r="W23" s="230"/>
      <c r="X23" s="230"/>
      <c r="Y23" s="230"/>
      <c r="Z23" s="230"/>
    </row>
    <row r="24" spans="1:26" ht="15.75" thickBot="1">
      <c r="A24" s="700" t="s">
        <v>547</v>
      </c>
      <c r="B24" s="701"/>
      <c r="C24" s="701"/>
      <c r="D24" s="702"/>
      <c r="E24" s="705"/>
      <c r="F24" s="696"/>
      <c r="G24" s="696"/>
      <c r="H24" s="696"/>
      <c r="I24" s="230"/>
      <c r="J24" s="230"/>
      <c r="K24" s="230"/>
      <c r="L24" s="230"/>
      <c r="M24" s="230"/>
      <c r="N24" s="230"/>
      <c r="O24" s="230"/>
      <c r="P24" s="230"/>
      <c r="Q24" s="230"/>
      <c r="R24" s="230"/>
      <c r="S24" s="230"/>
      <c r="T24" s="230"/>
      <c r="U24" s="230"/>
      <c r="V24" s="230"/>
      <c r="W24" s="230"/>
      <c r="X24" s="230"/>
      <c r="Y24" s="230"/>
      <c r="Z24" s="230"/>
    </row>
    <row r="25" spans="1:26" ht="33" customHeight="1" thickBot="1">
      <c r="A25" s="1188" t="s">
        <v>764</v>
      </c>
      <c r="B25" s="1189"/>
      <c r="C25" s="1189"/>
      <c r="D25" s="1190"/>
      <c r="E25" s="704" t="s">
        <v>1392</v>
      </c>
      <c r="F25" s="230"/>
      <c r="G25" s="230"/>
      <c r="H25" s="230"/>
      <c r="I25" s="230"/>
      <c r="J25" s="230"/>
      <c r="K25" s="230"/>
      <c r="L25" s="230"/>
      <c r="M25" s="230"/>
      <c r="N25" s="230"/>
      <c r="O25" s="230"/>
      <c r="P25" s="230"/>
      <c r="Q25" s="230"/>
      <c r="R25" s="230"/>
      <c r="S25" s="230"/>
      <c r="T25" s="230"/>
      <c r="U25" s="230"/>
      <c r="V25" s="230"/>
      <c r="W25" s="230"/>
      <c r="X25" s="230"/>
      <c r="Y25" s="230"/>
      <c r="Z25" s="230"/>
    </row>
    <row r="26" spans="1:26" ht="15.75" thickBot="1">
      <c r="A26" s="700" t="s">
        <v>378</v>
      </c>
      <c r="B26" s="701"/>
      <c r="C26" s="701"/>
      <c r="D26" s="702"/>
      <c r="E26" s="705"/>
      <c r="F26" s="696"/>
      <c r="G26" s="696"/>
      <c r="H26" s="696"/>
      <c r="I26" s="230"/>
      <c r="J26" s="230"/>
      <c r="K26" s="230"/>
      <c r="L26" s="230"/>
      <c r="M26" s="230"/>
      <c r="N26" s="230"/>
      <c r="O26" s="230"/>
      <c r="P26" s="230"/>
      <c r="Q26" s="230"/>
      <c r="R26" s="230"/>
      <c r="S26" s="230"/>
      <c r="T26" s="230"/>
      <c r="U26" s="230"/>
      <c r="V26" s="230"/>
      <c r="W26" s="230"/>
      <c r="X26" s="230"/>
      <c r="Y26" s="230"/>
      <c r="Z26" s="230"/>
    </row>
    <row r="27" spans="1:26" ht="15" customHeight="1">
      <c r="A27" s="1191" t="s">
        <v>481</v>
      </c>
      <c r="B27" s="1192"/>
      <c r="C27" s="1192"/>
      <c r="D27" s="1193"/>
      <c r="E27" s="704" t="s">
        <v>1392</v>
      </c>
      <c r="F27" s="696"/>
      <c r="G27" s="696"/>
      <c r="H27" s="696"/>
      <c r="I27" s="230"/>
      <c r="J27" s="230"/>
      <c r="K27" s="230"/>
      <c r="L27" s="230"/>
      <c r="M27" s="230"/>
      <c r="N27" s="230"/>
      <c r="O27" s="230"/>
      <c r="P27" s="230"/>
      <c r="Q27" s="230"/>
      <c r="R27" s="230"/>
      <c r="S27" s="230"/>
      <c r="T27" s="230"/>
      <c r="U27" s="230"/>
      <c r="V27" s="230"/>
      <c r="W27" s="230"/>
      <c r="X27" s="230"/>
      <c r="Y27" s="230"/>
      <c r="Z27" s="230"/>
    </row>
    <row r="28" spans="1:26" ht="15" customHeight="1" thickBot="1">
      <c r="A28" s="1184" t="s">
        <v>392</v>
      </c>
      <c r="B28" s="1184"/>
      <c r="C28" s="1184"/>
      <c r="D28" s="1184"/>
      <c r="E28" s="704" t="s">
        <v>1392</v>
      </c>
      <c r="F28" s="696"/>
      <c r="G28" s="696"/>
      <c r="H28" s="696"/>
      <c r="I28" s="230"/>
      <c r="J28" s="230"/>
      <c r="K28" s="230"/>
      <c r="L28" s="230"/>
      <c r="M28" s="230"/>
      <c r="N28" s="230"/>
      <c r="O28" s="230"/>
      <c r="P28" s="230"/>
      <c r="Q28" s="230"/>
      <c r="R28" s="230"/>
      <c r="S28" s="230"/>
      <c r="T28" s="230"/>
      <c r="U28" s="230"/>
      <c r="V28" s="230"/>
      <c r="W28" s="230"/>
      <c r="X28" s="230"/>
      <c r="Y28" s="230"/>
      <c r="Z28" s="230"/>
    </row>
    <row r="29" spans="1:26" ht="15.75" thickBot="1">
      <c r="A29" s="700" t="s">
        <v>73</v>
      </c>
      <c r="B29" s="701"/>
      <c r="C29" s="701"/>
      <c r="D29" s="702"/>
      <c r="E29" s="705"/>
      <c r="F29" s="696"/>
      <c r="G29" s="696"/>
      <c r="H29" s="696"/>
      <c r="I29" s="230"/>
      <c r="J29" s="230"/>
      <c r="K29" s="230"/>
      <c r="L29" s="230"/>
      <c r="M29" s="230"/>
      <c r="N29" s="230"/>
      <c r="O29" s="230"/>
      <c r="P29" s="230"/>
      <c r="Q29" s="230"/>
      <c r="R29" s="230"/>
      <c r="S29" s="230"/>
      <c r="T29" s="230"/>
      <c r="U29" s="230"/>
      <c r="V29" s="230"/>
      <c r="W29" s="230"/>
      <c r="X29" s="230"/>
      <c r="Y29" s="230"/>
      <c r="Z29" s="230"/>
    </row>
    <row r="30" spans="1:26" ht="15" customHeight="1" thickBot="1">
      <c r="A30" s="706" t="s">
        <v>476</v>
      </c>
      <c r="B30" s="707"/>
      <c r="C30" s="708"/>
      <c r="D30" s="708"/>
      <c r="E30" s="704" t="s">
        <v>1393</v>
      </c>
      <c r="F30" s="696"/>
      <c r="G30" s="696"/>
      <c r="H30" s="696"/>
      <c r="I30" s="230"/>
      <c r="J30" s="230"/>
      <c r="K30" s="230"/>
      <c r="L30" s="230"/>
      <c r="M30" s="230"/>
      <c r="N30" s="230"/>
      <c r="O30" s="230"/>
      <c r="P30" s="230"/>
      <c r="Q30" s="230"/>
      <c r="R30" s="230"/>
      <c r="S30" s="230"/>
      <c r="T30" s="230"/>
      <c r="U30" s="230"/>
      <c r="V30" s="230"/>
      <c r="W30" s="230"/>
      <c r="X30" s="230"/>
      <c r="Y30" s="230"/>
      <c r="Z30" s="230"/>
    </row>
    <row r="31" spans="1:26" ht="15.75" thickBot="1">
      <c r="A31" s="700" t="s">
        <v>75</v>
      </c>
      <c r="B31" s="701"/>
      <c r="C31" s="701"/>
      <c r="D31" s="702"/>
      <c r="E31" s="705"/>
      <c r="F31" s="696"/>
      <c r="G31" s="696"/>
      <c r="H31" s="696"/>
      <c r="I31" s="230"/>
      <c r="J31" s="230"/>
      <c r="K31" s="230"/>
      <c r="L31" s="230"/>
      <c r="M31" s="230"/>
      <c r="N31" s="230"/>
      <c r="O31" s="230"/>
      <c r="P31" s="230"/>
      <c r="Q31" s="230"/>
      <c r="R31" s="230"/>
      <c r="S31" s="230"/>
      <c r="T31" s="230"/>
      <c r="U31" s="230"/>
      <c r="V31" s="230"/>
      <c r="W31" s="230"/>
      <c r="X31" s="230"/>
      <c r="Y31" s="230"/>
      <c r="Z31" s="230"/>
    </row>
    <row r="32" spans="1:26" ht="15" customHeight="1" thickBot="1">
      <c r="A32" s="709" t="s">
        <v>394</v>
      </c>
      <c r="B32" s="709"/>
      <c r="C32" s="709"/>
      <c r="D32" s="709"/>
      <c r="E32" s="710" t="s">
        <v>1392</v>
      </c>
      <c r="F32" s="696"/>
      <c r="G32" s="696"/>
      <c r="H32" s="696"/>
      <c r="I32" s="230"/>
      <c r="J32" s="230"/>
      <c r="K32" s="230"/>
      <c r="L32" s="230"/>
      <c r="M32" s="230"/>
      <c r="N32" s="230"/>
      <c r="O32" s="230"/>
      <c r="P32" s="230"/>
      <c r="Q32" s="230"/>
      <c r="R32" s="230"/>
      <c r="S32" s="230"/>
      <c r="T32" s="230"/>
      <c r="U32" s="230"/>
      <c r="V32" s="230"/>
      <c r="W32" s="230"/>
      <c r="X32" s="230"/>
      <c r="Y32" s="230"/>
      <c r="Z32" s="230"/>
    </row>
    <row r="33" spans="1:26" ht="15.75" thickBot="1">
      <c r="A33" s="700" t="s">
        <v>1099</v>
      </c>
      <c r="B33" s="701"/>
      <c r="C33" s="701"/>
      <c r="D33" s="702"/>
      <c r="E33" s="705"/>
      <c r="F33" s="696"/>
      <c r="G33" s="696"/>
      <c r="H33" s="696"/>
      <c r="I33" s="230"/>
      <c r="J33" s="230"/>
      <c r="K33" s="230"/>
      <c r="L33" s="230"/>
      <c r="M33" s="230"/>
      <c r="N33" s="230"/>
      <c r="O33" s="230"/>
      <c r="P33" s="230"/>
      <c r="Q33" s="230"/>
      <c r="R33" s="230"/>
      <c r="S33" s="230"/>
      <c r="T33" s="230"/>
      <c r="U33" s="230"/>
      <c r="V33" s="230"/>
      <c r="W33" s="230"/>
      <c r="X33" s="230"/>
      <c r="Y33" s="230"/>
      <c r="Z33" s="230"/>
    </row>
    <row r="34" spans="1:26" ht="45.75" customHeight="1">
      <c r="A34" s="1184" t="s">
        <v>1100</v>
      </c>
      <c r="B34" s="1184"/>
      <c r="C34" s="1184"/>
      <c r="D34" s="1184"/>
      <c r="E34" s="704" t="s">
        <v>1392</v>
      </c>
      <c r="F34" s="696"/>
      <c r="G34" s="696"/>
      <c r="H34" s="696"/>
      <c r="I34" s="230"/>
      <c r="J34" s="230"/>
      <c r="K34" s="230"/>
      <c r="L34" s="230"/>
      <c r="M34" s="230"/>
      <c r="N34" s="230"/>
      <c r="O34" s="230"/>
      <c r="P34" s="230"/>
      <c r="Q34" s="230"/>
      <c r="R34" s="230"/>
      <c r="S34" s="230"/>
      <c r="T34" s="230"/>
      <c r="U34" s="230"/>
      <c r="V34" s="230"/>
      <c r="W34" s="230"/>
      <c r="X34" s="230"/>
      <c r="Y34" s="230"/>
      <c r="Z34" s="230"/>
    </row>
    <row r="35" spans="1:26" ht="9.75" customHeight="1">
      <c r="A35" s="696"/>
      <c r="B35" s="696"/>
      <c r="C35" s="696"/>
      <c r="D35" s="696"/>
      <c r="E35" s="696"/>
      <c r="F35" s="696"/>
      <c r="G35" s="696"/>
      <c r="H35" s="696"/>
      <c r="I35" s="230"/>
      <c r="J35" s="230"/>
      <c r="K35" s="230"/>
      <c r="L35" s="230"/>
      <c r="M35" s="230"/>
      <c r="N35" s="230"/>
      <c r="O35" s="230"/>
      <c r="P35" s="230"/>
      <c r="Q35" s="230"/>
      <c r="R35" s="230"/>
      <c r="S35" s="230"/>
      <c r="T35" s="230"/>
      <c r="U35" s="230"/>
      <c r="V35" s="230"/>
      <c r="W35" s="230"/>
      <c r="X35" s="230"/>
      <c r="Y35" s="230"/>
      <c r="Z35" s="230"/>
    </row>
    <row r="36" spans="1:26" ht="45.75" customHeight="1" thickBot="1">
      <c r="A36" s="1182" t="s">
        <v>1091</v>
      </c>
      <c r="B36" s="1182"/>
      <c r="C36" s="1182"/>
      <c r="D36" s="1182"/>
      <c r="E36" s="1182"/>
      <c r="F36" s="1182"/>
      <c r="G36" s="1180"/>
      <c r="H36" s="1180"/>
      <c r="I36" s="230"/>
      <c r="J36" s="230"/>
      <c r="K36" s="230"/>
      <c r="L36" s="230"/>
      <c r="M36" s="230"/>
      <c r="N36" s="230"/>
      <c r="O36" s="230"/>
      <c r="P36" s="230"/>
      <c r="Q36" s="230"/>
      <c r="R36" s="230"/>
      <c r="S36" s="230"/>
      <c r="T36" s="230"/>
      <c r="U36" s="230"/>
      <c r="V36" s="230"/>
      <c r="W36" s="230"/>
      <c r="X36" s="230"/>
      <c r="Y36" s="230"/>
      <c r="Z36" s="230"/>
    </row>
    <row r="37" spans="1:26" ht="15.75" thickBot="1">
      <c r="A37" s="711" t="s">
        <v>332</v>
      </c>
      <c r="B37" s="712"/>
      <c r="C37" s="712"/>
      <c r="D37" s="713"/>
      <c r="E37" s="714" t="s">
        <v>391</v>
      </c>
      <c r="F37" s="688"/>
      <c r="G37" s="688"/>
      <c r="H37" s="688"/>
      <c r="I37" s="230"/>
      <c r="J37" s="230"/>
      <c r="K37" s="230"/>
      <c r="L37" s="230"/>
      <c r="M37" s="230"/>
      <c r="N37" s="230"/>
      <c r="O37" s="230"/>
      <c r="P37" s="230"/>
      <c r="Q37" s="230"/>
      <c r="R37" s="230"/>
      <c r="S37" s="230"/>
      <c r="T37" s="230"/>
      <c r="U37" s="230"/>
      <c r="V37" s="230"/>
      <c r="W37" s="230"/>
      <c r="X37" s="230"/>
      <c r="Y37" s="230"/>
      <c r="Z37" s="230"/>
    </row>
    <row r="38" spans="1:26" ht="47.25" customHeight="1" thickBot="1">
      <c r="A38" s="1184" t="s">
        <v>1122</v>
      </c>
      <c r="B38" s="1184"/>
      <c r="C38" s="1184"/>
      <c r="D38" s="1184"/>
      <c r="E38" s="704" t="s">
        <v>1393</v>
      </c>
      <c r="F38" s="688"/>
      <c r="G38" s="688"/>
      <c r="H38" s="688"/>
      <c r="I38" s="230"/>
      <c r="J38" s="230"/>
      <c r="K38" s="230"/>
      <c r="L38" s="230"/>
      <c r="M38" s="230"/>
      <c r="N38" s="230"/>
      <c r="O38" s="230"/>
      <c r="P38" s="230"/>
      <c r="Q38" s="230"/>
      <c r="R38" s="230"/>
      <c r="S38" s="230"/>
      <c r="T38" s="230"/>
      <c r="U38" s="230"/>
      <c r="V38" s="230"/>
      <c r="W38" s="230"/>
      <c r="X38" s="230"/>
      <c r="Y38" s="230"/>
      <c r="Z38" s="230"/>
    </row>
    <row r="39" spans="1:26" ht="15.75" thickBot="1">
      <c r="A39" s="711" t="s">
        <v>152</v>
      </c>
      <c r="B39" s="712"/>
      <c r="C39" s="712"/>
      <c r="D39" s="713"/>
      <c r="E39" s="705"/>
      <c r="F39" s="688"/>
      <c r="G39" s="688"/>
      <c r="H39" s="688"/>
      <c r="I39" s="230"/>
      <c r="J39" s="230"/>
      <c r="K39" s="230"/>
      <c r="L39" s="230"/>
      <c r="M39" s="230"/>
      <c r="N39" s="230"/>
      <c r="O39" s="230"/>
      <c r="P39" s="230"/>
      <c r="Q39" s="230"/>
      <c r="R39" s="230"/>
      <c r="S39" s="230"/>
      <c r="T39" s="230"/>
      <c r="U39" s="230"/>
      <c r="V39" s="230"/>
      <c r="W39" s="230"/>
      <c r="X39" s="230"/>
      <c r="Y39" s="230"/>
      <c r="Z39" s="230"/>
    </row>
    <row r="40" spans="1:26" ht="33.75" customHeight="1" thickBot="1">
      <c r="A40" s="1184" t="s">
        <v>805</v>
      </c>
      <c r="B40" s="1184"/>
      <c r="C40" s="1184"/>
      <c r="D40" s="1184"/>
      <c r="E40" s="704" t="s">
        <v>1393</v>
      </c>
      <c r="F40" s="688"/>
      <c r="G40" s="688"/>
      <c r="H40" s="688"/>
      <c r="I40" s="230"/>
      <c r="J40" s="230"/>
      <c r="K40" s="230"/>
      <c r="L40" s="230"/>
      <c r="M40" s="230"/>
      <c r="N40" s="230"/>
      <c r="O40" s="230"/>
      <c r="P40" s="230"/>
      <c r="Q40" s="230"/>
      <c r="R40" s="230"/>
      <c r="S40" s="230"/>
      <c r="T40" s="230"/>
      <c r="U40" s="230"/>
      <c r="V40" s="230"/>
      <c r="W40" s="230"/>
      <c r="X40" s="230"/>
      <c r="Y40" s="230"/>
      <c r="Z40" s="230"/>
    </row>
    <row r="41" spans="1:26" ht="15.75" thickBot="1">
      <c r="A41" s="711" t="s">
        <v>153</v>
      </c>
      <c r="B41" s="712"/>
      <c r="C41" s="712"/>
      <c r="D41" s="713"/>
      <c r="E41" s="705"/>
      <c r="F41" s="688"/>
      <c r="G41" s="688"/>
      <c r="H41" s="688"/>
      <c r="I41" s="230"/>
      <c r="J41" s="230"/>
      <c r="K41" s="230"/>
      <c r="L41" s="230"/>
      <c r="M41" s="230"/>
      <c r="N41" s="230"/>
      <c r="O41" s="230"/>
      <c r="P41" s="230"/>
      <c r="Q41" s="230"/>
      <c r="R41" s="230"/>
      <c r="S41" s="230"/>
      <c r="T41" s="230"/>
      <c r="U41" s="230"/>
      <c r="V41" s="230"/>
      <c r="W41" s="230"/>
      <c r="X41" s="230"/>
      <c r="Y41" s="230"/>
      <c r="Z41" s="230"/>
    </row>
    <row r="42" spans="1:26" ht="35.25" customHeight="1" thickBot="1">
      <c r="A42" s="1184" t="s">
        <v>482</v>
      </c>
      <c r="B42" s="1184"/>
      <c r="C42" s="1184"/>
      <c r="D42" s="1184"/>
      <c r="E42" s="704" t="s">
        <v>1393</v>
      </c>
      <c r="F42" s="688"/>
      <c r="G42" s="688"/>
      <c r="H42" s="688"/>
      <c r="I42" s="230"/>
      <c r="J42" s="230"/>
      <c r="K42" s="230"/>
      <c r="L42" s="230"/>
      <c r="M42" s="230"/>
      <c r="N42" s="230"/>
      <c r="O42" s="230"/>
      <c r="P42" s="230"/>
      <c r="Q42" s="230"/>
      <c r="R42" s="230"/>
      <c r="S42" s="230"/>
      <c r="T42" s="230"/>
      <c r="U42" s="230"/>
      <c r="V42" s="230"/>
      <c r="W42" s="230"/>
      <c r="X42" s="230"/>
      <c r="Y42" s="230"/>
      <c r="Z42" s="230"/>
    </row>
    <row r="43" spans="1:26" ht="15.75" thickBot="1">
      <c r="A43" s="711" t="s">
        <v>1298</v>
      </c>
      <c r="B43" s="712"/>
      <c r="C43" s="712"/>
      <c r="D43" s="713"/>
      <c r="E43" s="705"/>
      <c r="F43" s="1068"/>
      <c r="G43" s="1068"/>
      <c r="H43" s="1068"/>
      <c r="I43" s="230"/>
      <c r="J43" s="230"/>
      <c r="K43" s="230"/>
      <c r="L43" s="230"/>
      <c r="M43" s="230"/>
      <c r="N43" s="230"/>
      <c r="O43" s="230"/>
      <c r="P43" s="230"/>
      <c r="Q43" s="230"/>
      <c r="R43" s="230"/>
      <c r="S43" s="230"/>
      <c r="T43" s="230"/>
      <c r="U43" s="230"/>
      <c r="V43" s="230"/>
      <c r="W43" s="230"/>
      <c r="X43" s="230"/>
      <c r="Y43" s="230"/>
      <c r="Z43" s="230"/>
    </row>
    <row r="44" spans="1:26" ht="35.25" customHeight="1" thickBot="1">
      <c r="A44" s="1184" t="s">
        <v>1299</v>
      </c>
      <c r="B44" s="1184"/>
      <c r="C44" s="1184"/>
      <c r="D44" s="1184"/>
      <c r="E44" s="704" t="s">
        <v>1393</v>
      </c>
      <c r="F44" s="1068"/>
      <c r="G44" s="1068"/>
      <c r="H44" s="1068"/>
      <c r="I44" s="230"/>
      <c r="J44" s="230"/>
      <c r="K44" s="230"/>
      <c r="L44" s="230"/>
      <c r="M44" s="230"/>
      <c r="N44" s="230"/>
      <c r="O44" s="230"/>
      <c r="P44" s="230"/>
      <c r="Q44" s="230"/>
      <c r="R44" s="230"/>
      <c r="S44" s="230"/>
      <c r="T44" s="230"/>
      <c r="U44" s="230"/>
      <c r="V44" s="230"/>
      <c r="W44" s="230"/>
      <c r="X44" s="230"/>
      <c r="Y44" s="230"/>
      <c r="Z44" s="230"/>
    </row>
    <row r="45" spans="1:26" ht="15.75" thickBot="1">
      <c r="A45" s="711" t="s">
        <v>268</v>
      </c>
      <c r="B45" s="712"/>
      <c r="C45" s="712"/>
      <c r="D45" s="713"/>
      <c r="E45" s="705"/>
      <c r="F45" s="696"/>
      <c r="G45" s="696"/>
      <c r="H45" s="696"/>
      <c r="I45" s="230"/>
      <c r="J45" s="230"/>
      <c r="K45" s="230"/>
      <c r="L45" s="230"/>
      <c r="M45" s="230"/>
      <c r="N45" s="230"/>
      <c r="O45" s="230"/>
      <c r="P45" s="230"/>
      <c r="Q45" s="230"/>
      <c r="R45" s="230"/>
      <c r="S45" s="230"/>
      <c r="T45" s="230"/>
      <c r="U45" s="230"/>
      <c r="V45" s="230"/>
      <c r="W45" s="230"/>
      <c r="X45" s="230"/>
      <c r="Y45" s="230"/>
      <c r="Z45" s="230"/>
    </row>
    <row r="46" spans="1:26" ht="14.25">
      <c r="A46" s="817" t="s">
        <v>483</v>
      </c>
      <c r="B46" s="818"/>
      <c r="C46" s="819"/>
      <c r="D46" s="820"/>
      <c r="E46" s="704" t="s">
        <v>1392</v>
      </c>
      <c r="F46" s="696"/>
      <c r="G46" s="696"/>
      <c r="H46" s="696"/>
      <c r="I46" s="230"/>
      <c r="J46" s="230"/>
      <c r="K46" s="230"/>
      <c r="L46" s="230"/>
      <c r="M46" s="230"/>
      <c r="N46" s="230"/>
      <c r="O46" s="230"/>
      <c r="P46" s="230"/>
      <c r="Q46" s="230"/>
      <c r="R46" s="230"/>
      <c r="S46" s="230"/>
      <c r="T46" s="230"/>
      <c r="U46" s="230"/>
      <c r="V46" s="230"/>
      <c r="W46" s="230"/>
      <c r="X46" s="230"/>
      <c r="Y46" s="230"/>
      <c r="Z46" s="230"/>
    </row>
    <row r="47" spans="1:26">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row>
    <row r="48" spans="1:26">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row>
    <row r="49" spans="1:26">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row>
    <row r="50" spans="1:26">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row>
    <row r="51" spans="1:26">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row>
    <row r="52" spans="1:26">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row>
    <row r="53" spans="1:26">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row>
    <row r="54" spans="1:26">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row>
    <row r="55" spans="1:26">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row>
    <row r="56" spans="1:26">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row>
    <row r="57" spans="1:26">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row>
    <row r="58" spans="1:26">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row>
    <row r="59" spans="1:26">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row>
    <row r="60" spans="1:26">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row>
    <row r="61" spans="1:26">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row>
    <row r="62" spans="1:26">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row>
    <row r="63" spans="1:26">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row>
    <row r="64" spans="1:26">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row>
    <row r="65" spans="1:26">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row>
    <row r="66" spans="1:26">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row>
    <row r="67" spans="1:26">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row>
    <row r="68" spans="1:26">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row>
    <row r="69" spans="1:26">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row>
    <row r="70" spans="1:26">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row>
    <row r="71" spans="1:26">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row>
    <row r="72" spans="1:26">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row>
    <row r="73" spans="1:26">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row>
    <row r="74" spans="1:26">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row>
    <row r="75" spans="1:26">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row>
    <row r="76" spans="1:26">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row>
    <row r="77" spans="1:26">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row>
    <row r="78" spans="1:26">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row>
    <row r="79" spans="1:26">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row>
    <row r="80" spans="1:26">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row>
    <row r="81" spans="1:26">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row>
    <row r="82" spans="1:26">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row>
    <row r="83" spans="1:26">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row>
    <row r="84" spans="1:26">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row>
    <row r="85" spans="1:26">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row>
    <row r="86" spans="1:26">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row>
    <row r="87" spans="1:26">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row>
    <row r="88" spans="1:26">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row>
    <row r="89" spans="1:26">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row>
    <row r="90" spans="1:26">
      <c r="A90" s="230"/>
      <c r="B90" s="230"/>
      <c r="C90" s="230"/>
      <c r="D90" s="230"/>
      <c r="E90" s="230"/>
      <c r="F90" s="230"/>
    </row>
  </sheetData>
  <sheetProtection sheet="1" objects="1" scenarios="1"/>
  <mergeCells count="18">
    <mergeCell ref="A44:D44"/>
    <mergeCell ref="A40:D40"/>
    <mergeCell ref="A42:D42"/>
    <mergeCell ref="A9:F9"/>
    <mergeCell ref="A6:F6"/>
    <mergeCell ref="A36:F36"/>
    <mergeCell ref="A15:H15"/>
    <mergeCell ref="A38:D38"/>
    <mergeCell ref="G36:H36"/>
    <mergeCell ref="A34:D34"/>
    <mergeCell ref="A17:D17"/>
    <mergeCell ref="A19:D19"/>
    <mergeCell ref="A27:D27"/>
    <mergeCell ref="A28:D28"/>
    <mergeCell ref="A21:D21"/>
    <mergeCell ref="A23:D23"/>
    <mergeCell ref="A14:F14"/>
    <mergeCell ref="A25:D25"/>
  </mergeCells>
  <dataValidations count="1">
    <dataValidation type="list" allowBlank="1" showInputMessage="1" showErrorMessage="1" sqref="E19 E21 E32 E27:E28 E25 E30 E46 E34 E17 E38 E40 E23 E42 E44" xr:uid="{00000000-0002-0000-0100-000000000000}">
      <formula1>"Y,N,?"</formula1>
    </dataValidation>
  </dataValidations>
  <pageMargins left="0.7" right="0.7" top="0.75" bottom="0.75" header="0.3" footer="0.3"/>
  <pageSetup scale="95" orientation="portrait" r:id="rId1"/>
  <rowBreaks count="1" manualBreakCount="1">
    <brk id="34" max="16383" man="1"/>
  </rowBreaks>
  <colBreaks count="1" manualBreakCount="1">
    <brk id="6" max="1048575" man="1"/>
  </colBreaks>
  <drawing r:id="rId2"/>
  <legacyDrawing r:id="rId3"/>
  <controls>
    <mc:AlternateContent xmlns:mc="http://schemas.openxmlformats.org/markup-compatibility/2006">
      <mc:Choice Requires="x14">
        <control shapeId="30756" r:id="rId4" name="CommandButton1">
          <controlPr autoLine="0" r:id="rId5">
            <anchor moveWithCells="1" sizeWithCells="1">
              <from>
                <xdr:col>1</xdr:col>
                <xdr:colOff>104775</xdr:colOff>
                <xdr:row>0</xdr:row>
                <xdr:rowOff>142875</xdr:rowOff>
              </from>
              <to>
                <xdr:col>1</xdr:col>
                <xdr:colOff>1019175</xdr:colOff>
                <xdr:row>1</xdr:row>
                <xdr:rowOff>142875</xdr:rowOff>
              </to>
            </anchor>
          </controlPr>
        </control>
      </mc:Choice>
      <mc:Fallback>
        <control shapeId="30756" r:id="rId4" name="CommandButton1"/>
      </mc:Fallback>
    </mc:AlternateContent>
  </control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dimension ref="A1:AD201"/>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388" t="s">
        <v>935</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389"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81" customHeight="1">
      <c r="A6" s="1355" t="s">
        <v>1141</v>
      </c>
      <c r="B6" s="1355"/>
      <c r="C6" s="1355"/>
      <c r="D6" s="1355"/>
      <c r="E6" s="1355"/>
      <c r="F6" s="387"/>
      <c r="G6" s="1360"/>
      <c r="H6" s="1360"/>
      <c r="I6" s="1360"/>
      <c r="J6" s="1360"/>
      <c r="K6" s="1360"/>
      <c r="L6" s="1360"/>
      <c r="M6" s="387"/>
      <c r="N6" s="387"/>
      <c r="O6" s="387"/>
      <c r="P6" s="387"/>
      <c r="Q6" s="387"/>
      <c r="R6" s="387"/>
      <c r="S6" s="387"/>
      <c r="T6" s="387"/>
      <c r="U6" s="387"/>
      <c r="V6" s="387"/>
      <c r="W6" s="387"/>
      <c r="X6" s="387"/>
      <c r="Y6" s="387"/>
      <c r="Z6" s="387"/>
      <c r="AA6" s="387"/>
      <c r="AB6" s="387"/>
      <c r="AC6" s="387"/>
      <c r="AD6" s="387"/>
    </row>
    <row r="7" spans="1:30">
      <c r="A7" s="392"/>
      <c r="B7" s="392"/>
      <c r="C7" s="392"/>
      <c r="D7" s="392"/>
      <c r="E7" s="392"/>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393" t="s">
        <v>490</v>
      </c>
      <c r="B8" s="392"/>
      <c r="C8" s="392"/>
      <c r="D8" s="392"/>
      <c r="E8" s="392"/>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40.5" customHeight="1">
      <c r="A9" s="1355" t="s">
        <v>1113</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397" t="s">
        <v>500</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607</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1070</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396" t="s">
        <v>494</v>
      </c>
      <c r="B13" s="1365" t="s">
        <v>1114</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2"/>
      <c r="B14" s="392"/>
      <c r="C14" s="392"/>
      <c r="D14" s="392"/>
      <c r="E14" s="392"/>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394" t="s">
        <v>491</v>
      </c>
      <c r="B15" s="392"/>
      <c r="C15" s="392"/>
      <c r="D15" s="392"/>
      <c r="E15" s="392"/>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ht="46.5" customHeight="1">
      <c r="A16" s="1355" t="s">
        <v>955</v>
      </c>
      <c r="B16" s="1355"/>
      <c r="C16" s="1355"/>
      <c r="D16" s="1355"/>
      <c r="E16" s="1355"/>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92"/>
      <c r="B17" s="392"/>
      <c r="C17" s="392"/>
      <c r="D17" s="392"/>
      <c r="E17" s="392"/>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394" t="s">
        <v>497</v>
      </c>
      <c r="B18" s="430"/>
      <c r="C18" s="430"/>
      <c r="D18" s="430"/>
      <c r="E18" s="430"/>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ht="16.5" customHeight="1">
      <c r="A19" s="396" t="s">
        <v>494</v>
      </c>
      <c r="B19" s="1365" t="s">
        <v>643</v>
      </c>
      <c r="C19" s="1365"/>
      <c r="D19" s="1365"/>
      <c r="E19" s="1365"/>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38.25" customHeight="1">
      <c r="A20" s="396" t="s">
        <v>494</v>
      </c>
      <c r="B20" s="1365" t="s">
        <v>1142</v>
      </c>
      <c r="C20" s="1365"/>
      <c r="D20" s="1365"/>
      <c r="E20" s="1365"/>
      <c r="F20" s="1365"/>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row r="201" spans="1:30">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row>
  </sheetData>
  <sheetProtection sheet="1"/>
  <mergeCells count="9">
    <mergeCell ref="G6:L6"/>
    <mergeCell ref="B11:E11"/>
    <mergeCell ref="B12:E12"/>
    <mergeCell ref="B13:E13"/>
    <mergeCell ref="B20:F20"/>
    <mergeCell ref="B19:E19"/>
    <mergeCell ref="A6:E6"/>
    <mergeCell ref="A9:E9"/>
    <mergeCell ref="A16:E16"/>
  </mergeCells>
  <pageMargins left="0.25" right="0.25" top="0.25" bottom="0.5" header="0.5" footer="0.25"/>
  <pageSetup scale="94" orientation="portrait" r:id="rId1"/>
  <headerFooter alignWithMargins="0">
    <oddFooter>&amp;L&amp;"Arial,Italic"&amp;9EPA Climate Leaders Simplified GHG Emissions Calculator (Direct 1.0)&amp;R&amp;"Arial,Italic"&amp;9&amp;P of &amp;N</oddFooter>
  </headerFooter>
  <colBreaks count="1" manualBreakCount="1">
    <brk id="6" max="1048575" man="1"/>
  </colBreaks>
  <drawing r:id="rId2"/>
  <legacyDrawing r:id="rId3"/>
  <controls>
    <mc:AlternateContent xmlns:mc="http://schemas.openxmlformats.org/markup-compatibility/2006">
      <mc:Choice Requires="x14">
        <control shapeId="39937"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39937" r:id="rId4" name="CommandButton1"/>
      </mc:Fallback>
    </mc:AlternateContent>
    <mc:AlternateContent xmlns:mc="http://schemas.openxmlformats.org/markup-compatibility/2006">
      <mc:Choice Requires="x14">
        <control shapeId="39938"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9938" r:id="rId6" name="CommandButton2"/>
      </mc:Fallback>
    </mc:AlternateContent>
    <mc:AlternateContent xmlns:mc="http://schemas.openxmlformats.org/markup-compatibility/2006">
      <mc:Choice Requires="x14">
        <control shapeId="40045" r:id="rId8" name="CommandButton3">
          <controlPr autoLine="0" r:id="rId9">
            <anchor moveWithCells="1">
              <from>
                <xdr:col>2</xdr:col>
                <xdr:colOff>666750</xdr:colOff>
                <xdr:row>0</xdr:row>
                <xdr:rowOff>142875</xdr:rowOff>
              </from>
              <to>
                <xdr:col>2</xdr:col>
                <xdr:colOff>1885950</xdr:colOff>
                <xdr:row>1</xdr:row>
                <xdr:rowOff>133350</xdr:rowOff>
              </to>
            </anchor>
          </controlPr>
        </control>
      </mc:Choice>
      <mc:Fallback>
        <control shapeId="40045" r:id="rId8" name="CommandButton3"/>
      </mc:Fallback>
    </mc:AlternateContent>
    <mc:AlternateContent xmlns:mc="http://schemas.openxmlformats.org/markup-compatibility/2006">
      <mc:Choice Requires="x14">
        <control shapeId="40624" r:id="rId10" name="CommandButton4">
          <controlPr autoLine="0" r:id="rId11">
            <anchor moveWithCells="1" sizeWithCells="1">
              <from>
                <xdr:col>3</xdr:col>
                <xdr:colOff>47625</xdr:colOff>
                <xdr:row>0</xdr:row>
                <xdr:rowOff>123825</xdr:rowOff>
              </from>
              <to>
                <xdr:col>5</xdr:col>
                <xdr:colOff>9525</xdr:colOff>
                <xdr:row>1</xdr:row>
                <xdr:rowOff>123825</xdr:rowOff>
              </to>
            </anchor>
          </controlPr>
        </control>
      </mc:Choice>
      <mc:Fallback>
        <control shapeId="40624" r:id="rId10" name="CommandButton4"/>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dimension ref="A1:AD196"/>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936</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40.5" customHeight="1">
      <c r="A6" s="1355" t="s">
        <v>1143</v>
      </c>
      <c r="B6" s="1355"/>
      <c r="C6" s="1355"/>
      <c r="D6" s="1355"/>
      <c r="E6" s="1355"/>
      <c r="F6" s="387"/>
      <c r="G6" s="395"/>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64.5" customHeight="1">
      <c r="A9" s="1355" t="s">
        <v>663</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615</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ht="16.5" customHeight="1">
      <c r="A11" s="396" t="s">
        <v>494</v>
      </c>
      <c r="B11" s="1365" t="s">
        <v>664</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ht="28.5" customHeight="1">
      <c r="A12" s="396" t="s">
        <v>494</v>
      </c>
      <c r="B12" s="1365" t="s">
        <v>665</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396"/>
      <c r="B13" s="454"/>
      <c r="C13" s="454"/>
      <c r="D13" s="454"/>
      <c r="E13" s="454"/>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438" t="s">
        <v>491</v>
      </c>
      <c r="B14" s="453"/>
      <c r="C14" s="453"/>
      <c r="D14" s="453"/>
      <c r="E14" s="453"/>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ht="40.5" customHeight="1">
      <c r="A15" s="1355" t="s">
        <v>823</v>
      </c>
      <c r="B15" s="1355"/>
      <c r="C15" s="1355"/>
      <c r="D15" s="1355"/>
      <c r="E15" s="1355"/>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453"/>
      <c r="B16" s="453"/>
      <c r="C16" s="453"/>
      <c r="D16" s="453"/>
      <c r="E16" s="453"/>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87"/>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387"/>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387"/>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c r="A20" s="387"/>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sheetData>
  <sheetProtection sheet="1"/>
  <mergeCells count="5">
    <mergeCell ref="A6:E6"/>
    <mergeCell ref="A9:E9"/>
    <mergeCell ref="A15:E15"/>
    <mergeCell ref="B11:E11"/>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0961"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0961" r:id="rId4" name="CommandButton1"/>
      </mc:Fallback>
    </mc:AlternateContent>
    <mc:AlternateContent xmlns:mc="http://schemas.openxmlformats.org/markup-compatibility/2006">
      <mc:Choice Requires="x14">
        <control shapeId="40962"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40962" r:id="rId6" name="CommandButton2"/>
      </mc:Fallback>
    </mc:AlternateContent>
  </control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dimension ref="A1:AD200"/>
  <sheetViews>
    <sheetView zoomScaleNormal="100" workbookViewId="0">
      <pane ySplit="4" topLeftCell="A5" activePane="bottomLeft" state="frozen"/>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937</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42.75" customHeight="1">
      <c r="A6" s="1355" t="s">
        <v>824</v>
      </c>
      <c r="B6" s="1355"/>
      <c r="C6" s="1355"/>
      <c r="D6" s="1355"/>
      <c r="E6" s="1355"/>
      <c r="F6" s="387"/>
      <c r="G6" s="395"/>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67.5" customHeight="1">
      <c r="A9" s="1355" t="s">
        <v>616</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505</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696</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507</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ht="16.5" customHeight="1">
      <c r="A13" s="396" t="s">
        <v>494</v>
      </c>
      <c r="B13" s="1365" t="s">
        <v>506</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96"/>
      <c r="B14" s="454"/>
      <c r="C14" s="454"/>
      <c r="D14" s="454"/>
      <c r="E14" s="454"/>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38" t="s">
        <v>491</v>
      </c>
      <c r="B15" s="453"/>
      <c r="C15" s="453"/>
      <c r="D15" s="453"/>
      <c r="E15" s="453"/>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ht="40.5" customHeight="1">
      <c r="A16" s="1355" t="s">
        <v>825</v>
      </c>
      <c r="B16" s="1355"/>
      <c r="C16" s="1355"/>
      <c r="D16" s="1355"/>
      <c r="E16" s="1355"/>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453"/>
      <c r="B17" s="453"/>
      <c r="C17" s="453"/>
      <c r="D17" s="453"/>
      <c r="E17" s="453"/>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438" t="s">
        <v>497</v>
      </c>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ht="30.75" customHeight="1">
      <c r="A19" s="396" t="s">
        <v>494</v>
      </c>
      <c r="B19" s="1365" t="s">
        <v>695</v>
      </c>
      <c r="C19" s="1365"/>
      <c r="D19" s="1365"/>
      <c r="E19" s="1365"/>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45.75" customHeight="1">
      <c r="A20" s="396" t="s">
        <v>494</v>
      </c>
      <c r="B20" s="1365" t="s">
        <v>1144</v>
      </c>
      <c r="C20" s="1365"/>
      <c r="D20" s="1365"/>
      <c r="E20" s="1365"/>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ht="42" customHeight="1">
      <c r="A21" s="396" t="s">
        <v>494</v>
      </c>
      <c r="B21" s="1365" t="s">
        <v>826</v>
      </c>
      <c r="C21" s="1365"/>
      <c r="D21" s="1365"/>
      <c r="E21" s="1365"/>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sheetData>
  <sheetProtection sheet="1"/>
  <mergeCells count="9">
    <mergeCell ref="B19:E19"/>
    <mergeCell ref="B20:E20"/>
    <mergeCell ref="B21:E21"/>
    <mergeCell ref="A6:E6"/>
    <mergeCell ref="A9:E9"/>
    <mergeCell ref="A16:E16"/>
    <mergeCell ref="B11:E11"/>
    <mergeCell ref="B13:E13"/>
    <mergeCell ref="B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1985"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1985" r:id="rId4" name="CommandButton1"/>
      </mc:Fallback>
    </mc:AlternateContent>
    <mc:AlternateContent xmlns:mc="http://schemas.openxmlformats.org/markup-compatibility/2006">
      <mc:Choice Requires="x14">
        <control shapeId="41986"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41986" r:id="rId6" name="CommandButton2"/>
      </mc:Fallback>
    </mc:AlternateContent>
  </controls>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dimension ref="A1:AD201"/>
  <sheetViews>
    <sheetView zoomScaleNormal="100" workbookViewId="0">
      <pane ySplit="4" topLeftCell="A5" activePane="bottomLeft" state="frozen"/>
      <selection activeCell="A5" sqref="A5"/>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938</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66.75" customHeight="1">
      <c r="A6" s="1355" t="s">
        <v>1145</v>
      </c>
      <c r="B6" s="1355"/>
      <c r="C6" s="1355"/>
      <c r="D6" s="1355"/>
      <c r="E6" s="1355"/>
      <c r="F6" s="387"/>
      <c r="G6" s="395"/>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68.25" customHeight="1">
      <c r="A9" s="1355" t="s">
        <v>1146</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614</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65" t="s">
        <v>618</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396" t="s">
        <v>494</v>
      </c>
      <c r="B12" s="1365" t="s">
        <v>617</v>
      </c>
      <c r="C12" s="1365"/>
      <c r="D12" s="1365"/>
      <c r="E12" s="136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ht="16.5" customHeight="1">
      <c r="A13" s="396" t="s">
        <v>494</v>
      </c>
      <c r="B13" s="1365" t="s">
        <v>699</v>
      </c>
      <c r="C13" s="1365"/>
      <c r="D13" s="1365"/>
      <c r="E13" s="1365"/>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453"/>
      <c r="B14" s="453"/>
      <c r="C14" s="453"/>
      <c r="D14" s="453"/>
      <c r="E14" s="453"/>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438" t="s">
        <v>491</v>
      </c>
      <c r="B15" s="453"/>
      <c r="C15" s="453"/>
      <c r="D15" s="453"/>
      <c r="E15" s="453"/>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ht="46.5" customHeight="1">
      <c r="A16" s="1355" t="s">
        <v>828</v>
      </c>
      <c r="B16" s="1355"/>
      <c r="C16" s="1355"/>
      <c r="D16" s="1355"/>
      <c r="E16" s="1355"/>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453"/>
      <c r="B17" s="453"/>
      <c r="C17" s="453"/>
      <c r="D17" s="453"/>
      <c r="E17" s="453"/>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438" t="s">
        <v>497</v>
      </c>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ht="25.5" customHeight="1">
      <c r="A19" s="396" t="s">
        <v>494</v>
      </c>
      <c r="B19" s="1365" t="s">
        <v>706</v>
      </c>
      <c r="C19" s="1365"/>
      <c r="D19" s="1365"/>
      <c r="E19" s="1365"/>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ht="42.75" customHeight="1">
      <c r="A20" s="396" t="s">
        <v>494</v>
      </c>
      <c r="B20" s="1365" t="s">
        <v>701</v>
      </c>
      <c r="C20" s="1365"/>
      <c r="D20" s="1365"/>
      <c r="E20" s="1365"/>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ht="81.75" customHeight="1">
      <c r="A21" s="396" t="s">
        <v>494</v>
      </c>
      <c r="B21" s="1365" t="s">
        <v>700</v>
      </c>
      <c r="C21" s="1365"/>
      <c r="D21" s="1365"/>
      <c r="E21" s="1365"/>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453"/>
      <c r="B22" s="453"/>
      <c r="C22" s="453"/>
      <c r="D22" s="453"/>
      <c r="E22" s="453"/>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row r="201" spans="1:30">
      <c r="A201" s="387"/>
      <c r="B201" s="387"/>
      <c r="C201" s="387"/>
      <c r="D201" s="387"/>
      <c r="E201" s="387"/>
      <c r="F201" s="387"/>
      <c r="G201" s="387"/>
      <c r="H201" s="387"/>
      <c r="I201" s="387"/>
      <c r="J201" s="387"/>
      <c r="K201" s="387"/>
      <c r="L201" s="387"/>
      <c r="M201" s="387"/>
      <c r="N201" s="387"/>
      <c r="O201" s="387"/>
      <c r="P201" s="387"/>
      <c r="Q201" s="387"/>
      <c r="R201" s="387"/>
      <c r="S201" s="387"/>
      <c r="T201" s="387"/>
      <c r="U201" s="387"/>
      <c r="V201" s="387"/>
      <c r="W201" s="387"/>
      <c r="X201" s="387"/>
      <c r="Y201" s="387"/>
      <c r="Z201" s="387"/>
      <c r="AA201" s="387"/>
      <c r="AB201" s="387"/>
      <c r="AC201" s="387"/>
      <c r="AD201" s="387"/>
    </row>
  </sheetData>
  <sheetProtection sheet="1"/>
  <mergeCells count="9">
    <mergeCell ref="B19:E19"/>
    <mergeCell ref="B21:E21"/>
    <mergeCell ref="A6:E6"/>
    <mergeCell ref="A9:E9"/>
    <mergeCell ref="A16:E16"/>
    <mergeCell ref="B11:E11"/>
    <mergeCell ref="B12:E12"/>
    <mergeCell ref="B13:E13"/>
    <mergeCell ref="B20:E20"/>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43009"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43009" r:id="rId4" name="CommandButton1"/>
      </mc:Fallback>
    </mc:AlternateContent>
    <mc:AlternateContent xmlns:mc="http://schemas.openxmlformats.org/markup-compatibility/2006">
      <mc:Choice Requires="x14">
        <control shapeId="43010"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43010" r:id="rId6" name="CommandButton2"/>
      </mc:Fallback>
    </mc:AlternateContent>
  </control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65A5A-9F80-4A5B-AE09-9C05335F9C45}">
  <sheetPr codeName="Sheet36"/>
  <dimension ref="A1:AD195"/>
  <sheetViews>
    <sheetView zoomScaleNormal="100" workbookViewId="0">
      <pane ySplit="4" topLeftCell="A5" activePane="bottomLeft" state="frozen"/>
      <selection activeCell="A5" sqref="A5"/>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1292</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76.5" customHeight="1">
      <c r="A6" s="1370" t="s">
        <v>1372</v>
      </c>
      <c r="B6" s="1355"/>
      <c r="C6" s="1355"/>
      <c r="D6" s="1355"/>
      <c r="E6" s="1355"/>
      <c r="F6" s="387"/>
      <c r="G6" s="395"/>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958"/>
      <c r="B7" s="958"/>
      <c r="C7" s="958"/>
      <c r="D7" s="958"/>
      <c r="E7" s="958"/>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958"/>
      <c r="C8" s="958"/>
      <c r="D8" s="958"/>
      <c r="E8" s="958"/>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ht="42.75" customHeight="1">
      <c r="A9" s="1370" t="s">
        <v>1360</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ht="17.25" customHeight="1">
      <c r="A10" s="437" t="s">
        <v>614</v>
      </c>
      <c r="B10" s="387"/>
      <c r="C10" s="387"/>
      <c r="D10" s="387"/>
      <c r="E10" s="387"/>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396" t="s">
        <v>494</v>
      </c>
      <c r="B11" s="1379" t="s">
        <v>1294</v>
      </c>
      <c r="C11" s="1365"/>
      <c r="D11" s="1365"/>
      <c r="E11" s="1365"/>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c r="A12" s="958"/>
      <c r="B12" s="1098"/>
      <c r="C12" s="958"/>
      <c r="D12" s="958"/>
      <c r="E12" s="958"/>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438" t="s">
        <v>491</v>
      </c>
      <c r="B13" s="958"/>
      <c r="C13" s="958"/>
      <c r="D13" s="958"/>
      <c r="E13" s="958"/>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ht="29.45" customHeight="1">
      <c r="A14" s="1370" t="s">
        <v>1293</v>
      </c>
      <c r="B14" s="1355"/>
      <c r="C14" s="1355"/>
      <c r="D14" s="1355"/>
      <c r="E14" s="1355"/>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958"/>
      <c r="B15" s="958"/>
      <c r="C15" s="958"/>
      <c r="D15" s="958"/>
      <c r="E15" s="958"/>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958"/>
      <c r="B16" s="958"/>
      <c r="C16" s="958"/>
      <c r="D16" s="958"/>
      <c r="E16" s="958"/>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87"/>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387"/>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387"/>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c r="A20" s="387"/>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sheetData>
  <sheetProtection sheet="1" objects="1" scenarios="1"/>
  <mergeCells count="4">
    <mergeCell ref="A6:E6"/>
    <mergeCell ref="A9:E9"/>
    <mergeCell ref="B11:E11"/>
    <mergeCell ref="A14:E14"/>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77826" r:id="rId4" name="CommandButton2">
          <controlPr autoLine="0" r:id="rId5">
            <anchor moveWithCells="1" sizeWithCells="1">
              <from>
                <xdr:col>1</xdr:col>
                <xdr:colOff>1181100</xdr:colOff>
                <xdr:row>0</xdr:row>
                <xdr:rowOff>133350</xdr:rowOff>
              </from>
              <to>
                <xdr:col>2</xdr:col>
                <xdr:colOff>228600</xdr:colOff>
                <xdr:row>1</xdr:row>
                <xdr:rowOff>133350</xdr:rowOff>
              </to>
            </anchor>
          </controlPr>
        </control>
      </mc:Choice>
      <mc:Fallback>
        <control shapeId="77826" r:id="rId4" name="CommandButton2"/>
      </mc:Fallback>
    </mc:AlternateContent>
    <mc:AlternateContent xmlns:mc="http://schemas.openxmlformats.org/markup-compatibility/2006">
      <mc:Choice Requires="x14">
        <control shapeId="77825" r:id="rId6" name="CommandButton1">
          <controlPr autoLine="0" r:id="rId7">
            <anchor moveWithCells="1" sizeWithCells="1">
              <from>
                <xdr:col>1</xdr:col>
                <xdr:colOff>66675</xdr:colOff>
                <xdr:row>0</xdr:row>
                <xdr:rowOff>142875</xdr:rowOff>
              </from>
              <to>
                <xdr:col>1</xdr:col>
                <xdr:colOff>981075</xdr:colOff>
                <xdr:row>1</xdr:row>
                <xdr:rowOff>142875</xdr:rowOff>
              </to>
            </anchor>
          </controlPr>
        </control>
      </mc:Choice>
      <mc:Fallback>
        <control shapeId="77825" r:id="rId6" name="CommandButton1"/>
      </mc:Fallback>
    </mc:AlternateContent>
    <mc:AlternateContent xmlns:mc="http://schemas.openxmlformats.org/markup-compatibility/2006">
      <mc:Choice Requires="x14">
        <control shapeId="77827" r:id="rId8" name="CommandButton3">
          <controlPr autoLine="0" r:id="rId9">
            <anchor moveWithCells="1" sizeWithCells="1">
              <from>
                <xdr:col>2</xdr:col>
                <xdr:colOff>628650</xdr:colOff>
                <xdr:row>0</xdr:row>
                <xdr:rowOff>142875</xdr:rowOff>
              </from>
              <to>
                <xdr:col>3</xdr:col>
                <xdr:colOff>9525</xdr:colOff>
                <xdr:row>1</xdr:row>
                <xdr:rowOff>142875</xdr:rowOff>
              </to>
            </anchor>
          </controlPr>
        </control>
      </mc:Choice>
      <mc:Fallback>
        <control shapeId="77827" r:id="rId8" name="CommandButton3"/>
      </mc:Fallback>
    </mc:AlternateContent>
  </controls>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1"/>
  <dimension ref="A1:AD200"/>
  <sheetViews>
    <sheetView zoomScaleNormal="100" workbookViewId="0">
      <pane ySplit="4" topLeftCell="A5" activePane="bottomLeft" state="frozen"/>
      <selection activeCell="A5" sqref="A5"/>
      <selection pane="bottomLeft"/>
    </sheetView>
  </sheetViews>
  <sheetFormatPr defaultColWidth="9.140625" defaultRowHeight="12.75"/>
  <cols>
    <col min="1" max="1" width="9.7109375" style="386" customWidth="1"/>
    <col min="2" max="2" width="33.7109375" style="386" customWidth="1"/>
    <col min="3" max="3" width="28.7109375" style="386" customWidth="1"/>
    <col min="4" max="5" width="15.7109375" style="386" customWidth="1"/>
    <col min="6" max="7" width="6.28515625" style="386" customWidth="1"/>
    <col min="8" max="16384" width="9.140625" style="386"/>
  </cols>
  <sheetData>
    <row r="1" spans="1:30" ht="24.95" customHeight="1">
      <c r="A1" s="387"/>
      <c r="B1" s="387"/>
      <c r="C1" s="387"/>
      <c r="D1" s="387"/>
      <c r="E1" s="387"/>
      <c r="F1" s="387"/>
      <c r="G1" s="387"/>
      <c r="H1" s="387"/>
      <c r="I1" s="387"/>
      <c r="J1" s="387"/>
      <c r="K1" s="387"/>
      <c r="L1" s="387"/>
      <c r="M1" s="387"/>
      <c r="N1" s="387"/>
      <c r="O1" s="387"/>
      <c r="P1" s="387"/>
      <c r="Q1" s="387"/>
      <c r="R1" s="387"/>
      <c r="S1" s="387"/>
      <c r="T1" s="387"/>
      <c r="U1" s="387"/>
      <c r="V1" s="387"/>
      <c r="W1" s="387"/>
      <c r="X1" s="387"/>
      <c r="Y1" s="387"/>
      <c r="Z1" s="387"/>
      <c r="AA1" s="387"/>
      <c r="AB1" s="387"/>
      <c r="AC1" s="387"/>
      <c r="AD1" s="387"/>
    </row>
    <row r="2" spans="1:30" ht="24.95" customHeight="1">
      <c r="A2" s="387"/>
      <c r="B2" s="387"/>
      <c r="C2" s="387"/>
      <c r="D2" s="387"/>
      <c r="E2" s="387"/>
      <c r="F2" s="387"/>
      <c r="G2" s="387"/>
      <c r="H2" s="387"/>
      <c r="I2" s="387"/>
      <c r="J2" s="387"/>
      <c r="K2" s="387"/>
      <c r="L2" s="387"/>
      <c r="M2" s="387"/>
      <c r="N2" s="387"/>
      <c r="O2" s="387"/>
      <c r="P2" s="387"/>
      <c r="Q2" s="387"/>
      <c r="R2" s="387"/>
      <c r="S2" s="387"/>
      <c r="T2" s="387"/>
      <c r="U2" s="387"/>
      <c r="V2" s="387"/>
      <c r="W2" s="387"/>
      <c r="X2" s="387"/>
      <c r="Y2" s="387"/>
      <c r="Z2" s="387"/>
      <c r="AA2" s="387"/>
      <c r="AB2" s="387"/>
      <c r="AC2" s="387"/>
      <c r="AD2" s="387"/>
    </row>
    <row r="3" spans="1:30" ht="15">
      <c r="A3" s="405" t="s">
        <v>1089</v>
      </c>
      <c r="B3" s="387"/>
      <c r="C3" s="387"/>
      <c r="D3" s="387"/>
      <c r="E3" s="387"/>
      <c r="F3" s="387"/>
      <c r="G3" s="387"/>
      <c r="H3" s="387"/>
      <c r="I3" s="387"/>
      <c r="J3" s="387"/>
      <c r="K3" s="387"/>
      <c r="L3" s="387"/>
      <c r="M3" s="387"/>
      <c r="N3" s="387"/>
      <c r="O3" s="387"/>
      <c r="P3" s="387"/>
      <c r="Q3" s="387"/>
      <c r="R3" s="387"/>
      <c r="S3" s="387"/>
      <c r="T3" s="387"/>
      <c r="U3" s="387"/>
      <c r="V3" s="387"/>
      <c r="W3" s="387"/>
      <c r="X3" s="387"/>
      <c r="Y3" s="387"/>
      <c r="Z3" s="387"/>
      <c r="AA3" s="387"/>
      <c r="AB3" s="387"/>
      <c r="AC3" s="387"/>
      <c r="AD3" s="387"/>
    </row>
    <row r="4" spans="1:30">
      <c r="A4" s="387"/>
      <c r="B4" s="387"/>
      <c r="C4" s="387"/>
      <c r="D4" s="387"/>
      <c r="E4" s="387"/>
      <c r="F4" s="387"/>
      <c r="G4" s="387"/>
      <c r="H4" s="387"/>
      <c r="I4" s="387"/>
      <c r="J4" s="387"/>
      <c r="K4" s="387"/>
      <c r="L4" s="387"/>
      <c r="M4" s="387"/>
      <c r="N4" s="387"/>
      <c r="O4" s="387"/>
      <c r="P4" s="387"/>
      <c r="Q4" s="387"/>
      <c r="R4" s="387"/>
      <c r="S4" s="387"/>
      <c r="T4" s="387"/>
      <c r="U4" s="387"/>
      <c r="V4" s="387"/>
      <c r="W4" s="387"/>
      <c r="X4" s="387"/>
      <c r="Y4" s="387"/>
      <c r="Z4" s="387"/>
      <c r="AA4" s="387"/>
      <c r="AB4" s="387"/>
      <c r="AC4" s="387"/>
      <c r="AD4" s="387"/>
    </row>
    <row r="5" spans="1:30">
      <c r="A5" s="435" t="s">
        <v>488</v>
      </c>
      <c r="B5" s="387"/>
      <c r="C5" s="387"/>
      <c r="D5" s="387"/>
      <c r="E5" s="387"/>
      <c r="F5" s="387"/>
      <c r="G5" s="387"/>
      <c r="H5" s="387"/>
      <c r="I5" s="387"/>
      <c r="J5" s="387"/>
      <c r="K5" s="387"/>
      <c r="L5" s="387"/>
      <c r="M5" s="387"/>
      <c r="N5" s="387"/>
      <c r="O5" s="387"/>
      <c r="P5" s="387"/>
      <c r="Q5" s="387"/>
      <c r="R5" s="387"/>
      <c r="S5" s="387"/>
      <c r="T5" s="387"/>
      <c r="U5" s="387"/>
      <c r="V5" s="387"/>
      <c r="W5" s="387"/>
      <c r="X5" s="387"/>
      <c r="Y5" s="387"/>
      <c r="Z5" s="387"/>
      <c r="AA5" s="387"/>
      <c r="AB5" s="387"/>
      <c r="AC5" s="387"/>
      <c r="AD5" s="387"/>
    </row>
    <row r="6" spans="1:30" ht="42" customHeight="1">
      <c r="A6" s="1355" t="s">
        <v>1148</v>
      </c>
      <c r="B6" s="1355"/>
      <c r="C6" s="1355"/>
      <c r="D6" s="1355"/>
      <c r="E6" s="1355"/>
      <c r="F6" s="387"/>
      <c r="G6" s="387"/>
      <c r="H6" s="387"/>
      <c r="I6" s="387"/>
      <c r="J6" s="387"/>
      <c r="K6" s="387"/>
      <c r="L6" s="387"/>
      <c r="M6" s="387"/>
      <c r="N6" s="387"/>
      <c r="O6" s="387"/>
      <c r="P6" s="387"/>
      <c r="Q6" s="387"/>
      <c r="R6" s="387"/>
      <c r="S6" s="387"/>
      <c r="T6" s="387"/>
      <c r="U6" s="387"/>
      <c r="V6" s="387"/>
      <c r="W6" s="387"/>
      <c r="X6" s="387"/>
      <c r="Y6" s="387"/>
      <c r="Z6" s="387"/>
      <c r="AA6" s="387"/>
      <c r="AB6" s="387"/>
      <c r="AC6" s="387"/>
      <c r="AD6" s="387"/>
    </row>
    <row r="7" spans="1:30">
      <c r="A7" s="453"/>
      <c r="B7" s="453"/>
      <c r="C7" s="453"/>
      <c r="D7" s="453"/>
      <c r="E7" s="453"/>
      <c r="F7" s="387"/>
      <c r="G7" s="387"/>
      <c r="H7" s="387"/>
      <c r="I7" s="387"/>
      <c r="J7" s="387"/>
      <c r="K7" s="387"/>
      <c r="L7" s="387"/>
      <c r="M7" s="387"/>
      <c r="N7" s="387"/>
      <c r="O7" s="387"/>
      <c r="P7" s="387"/>
      <c r="Q7" s="387"/>
      <c r="R7" s="387"/>
      <c r="S7" s="387"/>
      <c r="T7" s="387"/>
      <c r="U7" s="387"/>
      <c r="V7" s="387"/>
      <c r="W7" s="387"/>
      <c r="X7" s="387"/>
      <c r="Y7" s="387"/>
      <c r="Z7" s="387"/>
      <c r="AA7" s="387"/>
      <c r="AB7" s="387"/>
      <c r="AC7" s="387"/>
      <c r="AD7" s="387"/>
    </row>
    <row r="8" spans="1:30">
      <c r="A8" s="436" t="s">
        <v>490</v>
      </c>
      <c r="B8" s="453"/>
      <c r="C8" s="453"/>
      <c r="D8" s="453"/>
      <c r="E8" s="453"/>
      <c r="F8" s="387"/>
      <c r="G8" s="387"/>
      <c r="H8" s="387"/>
      <c r="I8" s="387"/>
      <c r="J8" s="387"/>
      <c r="K8" s="387"/>
      <c r="L8" s="387"/>
      <c r="M8" s="387"/>
      <c r="N8" s="387"/>
      <c r="O8" s="387"/>
      <c r="P8" s="387"/>
      <c r="Q8" s="387"/>
      <c r="R8" s="387"/>
      <c r="S8" s="387"/>
      <c r="T8" s="387"/>
      <c r="U8" s="387"/>
      <c r="V8" s="387"/>
      <c r="W8" s="387"/>
      <c r="X8" s="387"/>
      <c r="Y8" s="387"/>
      <c r="Z8" s="387"/>
      <c r="AA8" s="387"/>
      <c r="AB8" s="387"/>
      <c r="AC8" s="387"/>
      <c r="AD8" s="387"/>
    </row>
    <row r="9" spans="1:30">
      <c r="A9" s="1355" t="s">
        <v>1071</v>
      </c>
      <c r="B9" s="1355"/>
      <c r="C9" s="1355"/>
      <c r="D9" s="1355"/>
      <c r="E9" s="1355"/>
      <c r="F9" s="387"/>
      <c r="G9" s="387"/>
      <c r="H9" s="387"/>
      <c r="I9" s="387"/>
      <c r="J9" s="387"/>
      <c r="K9" s="387"/>
      <c r="L9" s="387"/>
      <c r="M9" s="387"/>
      <c r="N9" s="387"/>
      <c r="O9" s="387"/>
      <c r="P9" s="387"/>
      <c r="Q9" s="387"/>
      <c r="R9" s="387"/>
      <c r="S9" s="387"/>
      <c r="T9" s="387"/>
      <c r="U9" s="387"/>
      <c r="V9" s="387"/>
      <c r="W9" s="387"/>
      <c r="X9" s="387"/>
      <c r="Y9" s="387"/>
      <c r="Z9" s="387"/>
      <c r="AA9" s="387"/>
      <c r="AB9" s="387"/>
      <c r="AC9" s="387"/>
      <c r="AD9" s="387"/>
    </row>
    <row r="10" spans="1:30">
      <c r="A10" s="453"/>
      <c r="B10" s="453"/>
      <c r="C10" s="453"/>
      <c r="D10" s="453"/>
      <c r="E10" s="453"/>
      <c r="F10" s="387"/>
      <c r="G10" s="387"/>
      <c r="H10" s="387"/>
      <c r="I10" s="387"/>
      <c r="J10" s="387"/>
      <c r="K10" s="387"/>
      <c r="L10" s="387"/>
      <c r="M10" s="387"/>
      <c r="N10" s="387"/>
      <c r="O10" s="387"/>
      <c r="P10" s="387"/>
      <c r="Q10" s="387"/>
      <c r="R10" s="387"/>
      <c r="S10" s="387"/>
      <c r="T10" s="387"/>
      <c r="U10" s="387"/>
      <c r="V10" s="387"/>
      <c r="W10" s="387"/>
      <c r="X10" s="387"/>
      <c r="Y10" s="387"/>
      <c r="Z10" s="387"/>
      <c r="AA10" s="387"/>
      <c r="AB10" s="387"/>
      <c r="AC10" s="387"/>
      <c r="AD10" s="387"/>
    </row>
    <row r="11" spans="1:30">
      <c r="A11" s="438" t="s">
        <v>491</v>
      </c>
      <c r="B11" s="453"/>
      <c r="C11" s="453"/>
      <c r="D11" s="453"/>
      <c r="E11" s="453"/>
      <c r="F11" s="387"/>
      <c r="G11" s="387"/>
      <c r="H11" s="387"/>
      <c r="I11" s="387"/>
      <c r="J11" s="387"/>
      <c r="K11" s="387"/>
      <c r="L11" s="387"/>
      <c r="M11" s="387"/>
      <c r="N11" s="387"/>
      <c r="O11" s="387"/>
      <c r="P11" s="387"/>
      <c r="Q11" s="387"/>
      <c r="R11" s="387"/>
      <c r="S11" s="387"/>
      <c r="T11" s="387"/>
      <c r="U11" s="387"/>
      <c r="V11" s="387"/>
      <c r="W11" s="387"/>
      <c r="X11" s="387"/>
      <c r="Y11" s="387"/>
      <c r="Z11" s="387"/>
      <c r="AA11" s="387"/>
      <c r="AB11" s="387"/>
      <c r="AC11" s="387"/>
      <c r="AD11" s="387"/>
    </row>
    <row r="12" spans="1:30" ht="27.75" customHeight="1">
      <c r="A12" s="1355" t="s">
        <v>827</v>
      </c>
      <c r="B12" s="1355"/>
      <c r="C12" s="1355"/>
      <c r="D12" s="1355"/>
      <c r="E12" s="1355"/>
      <c r="F12" s="387"/>
      <c r="G12" s="387"/>
      <c r="H12" s="387"/>
      <c r="I12" s="387"/>
      <c r="J12" s="387"/>
      <c r="K12" s="387"/>
      <c r="L12" s="387"/>
      <c r="M12" s="387"/>
      <c r="N12" s="387"/>
      <c r="O12" s="387"/>
      <c r="P12" s="387"/>
      <c r="Q12" s="387"/>
      <c r="R12" s="387"/>
      <c r="S12" s="387"/>
      <c r="T12" s="387"/>
      <c r="U12" s="387"/>
      <c r="V12" s="387"/>
      <c r="W12" s="387"/>
      <c r="X12" s="387"/>
      <c r="Y12" s="387"/>
      <c r="Z12" s="387"/>
      <c r="AA12" s="387"/>
      <c r="AB12" s="387"/>
      <c r="AC12" s="387"/>
      <c r="AD12" s="387"/>
    </row>
    <row r="13" spans="1:30">
      <c r="A13" s="453"/>
      <c r="B13" s="453"/>
      <c r="C13" s="453"/>
      <c r="D13" s="453"/>
      <c r="E13" s="453"/>
      <c r="F13" s="387"/>
      <c r="G13" s="387"/>
      <c r="H13" s="387"/>
      <c r="I13" s="387"/>
      <c r="J13" s="387"/>
      <c r="K13" s="387"/>
      <c r="L13" s="387"/>
      <c r="M13" s="387"/>
      <c r="N13" s="387"/>
      <c r="O13" s="387"/>
      <c r="P13" s="387"/>
      <c r="Q13" s="387"/>
      <c r="R13" s="387"/>
      <c r="S13" s="387"/>
      <c r="T13" s="387"/>
      <c r="U13" s="387"/>
      <c r="V13" s="387"/>
      <c r="W13" s="387"/>
      <c r="X13" s="387"/>
      <c r="Y13" s="387"/>
      <c r="Z13" s="387"/>
      <c r="AA13" s="387"/>
      <c r="AB13" s="387"/>
      <c r="AC13" s="387"/>
      <c r="AD13" s="387"/>
    </row>
    <row r="14" spans="1:30">
      <c r="A14" s="387"/>
      <c r="B14" s="387"/>
      <c r="C14" s="387"/>
      <c r="D14" s="387"/>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row>
    <row r="15" spans="1:30">
      <c r="A15" s="387"/>
      <c r="B15" s="387"/>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87"/>
      <c r="AC15" s="387"/>
      <c r="AD15" s="387"/>
    </row>
    <row r="16" spans="1:30">
      <c r="A16" s="387"/>
      <c r="B16" s="387"/>
      <c r="C16" s="387"/>
      <c r="D16" s="387"/>
      <c r="E16" s="387"/>
      <c r="F16" s="387"/>
      <c r="G16" s="387"/>
      <c r="H16" s="387"/>
      <c r="I16" s="387"/>
      <c r="J16" s="387"/>
      <c r="K16" s="387"/>
      <c r="L16" s="387"/>
      <c r="M16" s="387"/>
      <c r="N16" s="387"/>
      <c r="O16" s="387"/>
      <c r="P16" s="387"/>
      <c r="Q16" s="387"/>
      <c r="R16" s="387"/>
      <c r="S16" s="387"/>
      <c r="T16" s="387"/>
      <c r="U16" s="387"/>
      <c r="V16" s="387"/>
      <c r="W16" s="387"/>
      <c r="X16" s="387"/>
      <c r="Y16" s="387"/>
      <c r="Z16" s="387"/>
      <c r="AA16" s="387"/>
      <c r="AB16" s="387"/>
      <c r="AC16" s="387"/>
      <c r="AD16" s="387"/>
    </row>
    <row r="17" spans="1:30">
      <c r="A17" s="387"/>
      <c r="B17" s="387"/>
      <c r="C17" s="387"/>
      <c r="D17" s="387"/>
      <c r="E17" s="387"/>
      <c r="F17" s="387"/>
      <c r="G17" s="387"/>
      <c r="H17" s="387"/>
      <c r="I17" s="387"/>
      <c r="J17" s="387"/>
      <c r="K17" s="387"/>
      <c r="L17" s="387"/>
      <c r="M17" s="387"/>
      <c r="N17" s="387"/>
      <c r="O17" s="387"/>
      <c r="P17" s="387"/>
      <c r="Q17" s="387"/>
      <c r="R17" s="387"/>
      <c r="S17" s="387"/>
      <c r="T17" s="387"/>
      <c r="U17" s="387"/>
      <c r="V17" s="387"/>
      <c r="W17" s="387"/>
      <c r="X17" s="387"/>
      <c r="Y17" s="387"/>
      <c r="Z17" s="387"/>
      <c r="AA17" s="387"/>
      <c r="AB17" s="387"/>
      <c r="AC17" s="387"/>
      <c r="AD17" s="387"/>
    </row>
    <row r="18" spans="1:30">
      <c r="A18" s="387"/>
      <c r="B18" s="387"/>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row>
    <row r="19" spans="1:30">
      <c r="A19" s="387"/>
      <c r="B19" s="387"/>
      <c r="C19" s="387"/>
      <c r="D19" s="387"/>
      <c r="E19" s="387"/>
      <c r="F19" s="387"/>
      <c r="G19" s="387"/>
      <c r="H19" s="387"/>
      <c r="I19" s="387"/>
      <c r="J19" s="387"/>
      <c r="K19" s="387"/>
      <c r="L19" s="387"/>
      <c r="M19" s="387"/>
      <c r="N19" s="387"/>
      <c r="O19" s="387"/>
      <c r="P19" s="387"/>
      <c r="Q19" s="387"/>
      <c r="R19" s="387"/>
      <c r="S19" s="387"/>
      <c r="T19" s="387"/>
      <c r="U19" s="387"/>
      <c r="V19" s="387"/>
      <c r="W19" s="387"/>
      <c r="X19" s="387"/>
      <c r="Y19" s="387"/>
      <c r="Z19" s="387"/>
      <c r="AA19" s="387"/>
      <c r="AB19" s="387"/>
      <c r="AC19" s="387"/>
      <c r="AD19" s="387"/>
    </row>
    <row r="20" spans="1:30">
      <c r="A20" s="387"/>
      <c r="B20" s="387"/>
      <c r="C20" s="387"/>
      <c r="D20" s="387"/>
      <c r="E20" s="387"/>
      <c r="F20" s="387"/>
      <c r="G20" s="387"/>
      <c r="H20" s="387"/>
      <c r="I20" s="387"/>
      <c r="J20" s="387"/>
      <c r="K20" s="387"/>
      <c r="L20" s="387"/>
      <c r="M20" s="387"/>
      <c r="N20" s="387"/>
      <c r="O20" s="387"/>
      <c r="P20" s="387"/>
      <c r="Q20" s="387"/>
      <c r="R20" s="387"/>
      <c r="S20" s="387"/>
      <c r="T20" s="387"/>
      <c r="U20" s="387"/>
      <c r="V20" s="387"/>
      <c r="W20" s="387"/>
      <c r="X20" s="387"/>
      <c r="Y20" s="387"/>
      <c r="Z20" s="387"/>
      <c r="AA20" s="387"/>
      <c r="AB20" s="387"/>
      <c r="AC20" s="387"/>
      <c r="AD20" s="387"/>
    </row>
    <row r="21" spans="1:30">
      <c r="A21" s="387"/>
      <c r="B21" s="387"/>
      <c r="C21" s="387"/>
      <c r="D21" s="387"/>
      <c r="E21" s="387"/>
      <c r="F21" s="387"/>
      <c r="G21" s="387"/>
      <c r="H21" s="387"/>
      <c r="I21" s="387"/>
      <c r="J21" s="387"/>
      <c r="K21" s="387"/>
      <c r="L21" s="387"/>
      <c r="M21" s="387"/>
      <c r="N21" s="387"/>
      <c r="O21" s="387"/>
      <c r="P21" s="387"/>
      <c r="Q21" s="387"/>
      <c r="R21" s="387"/>
      <c r="S21" s="387"/>
      <c r="T21" s="387"/>
      <c r="U21" s="387"/>
      <c r="V21" s="387"/>
      <c r="W21" s="387"/>
      <c r="X21" s="387"/>
      <c r="Y21" s="387"/>
      <c r="Z21" s="387"/>
      <c r="AA21" s="387"/>
      <c r="AB21" s="387"/>
      <c r="AC21" s="387"/>
      <c r="AD21" s="387"/>
    </row>
    <row r="22" spans="1:30">
      <c r="A22" s="387"/>
      <c r="B22" s="387"/>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87"/>
      <c r="AC22" s="387"/>
      <c r="AD22" s="387"/>
    </row>
    <row r="23" spans="1:30">
      <c r="A23" s="387"/>
      <c r="B23" s="387"/>
      <c r="C23" s="387"/>
      <c r="D23" s="387"/>
      <c r="E23" s="387"/>
      <c r="F23" s="387"/>
      <c r="G23" s="387"/>
      <c r="H23" s="387"/>
      <c r="I23" s="387"/>
      <c r="J23" s="387"/>
      <c r="K23" s="387"/>
      <c r="L23" s="387"/>
      <c r="M23" s="387"/>
      <c r="N23" s="387"/>
      <c r="O23" s="387"/>
      <c r="P23" s="387"/>
      <c r="Q23" s="387"/>
      <c r="R23" s="387"/>
      <c r="S23" s="387"/>
      <c r="T23" s="387"/>
      <c r="U23" s="387"/>
      <c r="V23" s="387"/>
      <c r="W23" s="387"/>
      <c r="X23" s="387"/>
      <c r="Y23" s="387"/>
      <c r="Z23" s="387"/>
      <c r="AA23" s="387"/>
      <c r="AB23" s="387"/>
      <c r="AC23" s="387"/>
      <c r="AD23" s="387"/>
    </row>
    <row r="24" spans="1:30">
      <c r="A24" s="387"/>
      <c r="B24" s="387"/>
      <c r="C24" s="387"/>
      <c r="D24" s="387"/>
      <c r="E24" s="387"/>
      <c r="F24" s="387"/>
      <c r="G24" s="387"/>
      <c r="H24" s="387"/>
      <c r="I24" s="387"/>
      <c r="J24" s="387"/>
      <c r="K24" s="387"/>
      <c r="L24" s="387"/>
      <c r="M24" s="387"/>
      <c r="N24" s="387"/>
      <c r="O24" s="387"/>
      <c r="P24" s="387"/>
      <c r="Q24" s="387"/>
      <c r="R24" s="387"/>
      <c r="S24" s="387"/>
      <c r="T24" s="387"/>
      <c r="U24" s="387"/>
      <c r="V24" s="387"/>
      <c r="W24" s="387"/>
      <c r="X24" s="387"/>
      <c r="Y24" s="387"/>
      <c r="Z24" s="387"/>
      <c r="AA24" s="387"/>
      <c r="AB24" s="387"/>
      <c r="AC24" s="387"/>
      <c r="AD24" s="387"/>
    </row>
    <row r="25" spans="1:30">
      <c r="A25" s="387"/>
      <c r="B25" s="387"/>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row>
    <row r="26" spans="1:30">
      <c r="A26" s="387"/>
      <c r="B26" s="387"/>
      <c r="C26" s="387"/>
      <c r="D26" s="387"/>
      <c r="E26" s="387"/>
      <c r="F26" s="387"/>
      <c r="G26" s="387"/>
      <c r="H26" s="387"/>
      <c r="I26" s="387"/>
      <c r="J26" s="387"/>
      <c r="K26" s="387"/>
      <c r="L26" s="387"/>
      <c r="M26" s="387"/>
      <c r="N26" s="387"/>
      <c r="O26" s="387"/>
      <c r="P26" s="387"/>
      <c r="Q26" s="387"/>
      <c r="R26" s="387"/>
      <c r="S26" s="387"/>
      <c r="T26" s="387"/>
      <c r="U26" s="387"/>
      <c r="V26" s="387"/>
      <c r="W26" s="387"/>
      <c r="X26" s="387"/>
      <c r="Y26" s="387"/>
      <c r="Z26" s="387"/>
      <c r="AA26" s="387"/>
      <c r="AB26" s="387"/>
      <c r="AC26" s="387"/>
      <c r="AD26" s="387"/>
    </row>
    <row r="27" spans="1:30">
      <c r="A27" s="387"/>
      <c r="B27" s="387"/>
      <c r="C27" s="387"/>
      <c r="D27" s="387"/>
      <c r="E27" s="387"/>
      <c r="F27" s="387"/>
      <c r="G27" s="387"/>
      <c r="H27" s="387"/>
      <c r="I27" s="387"/>
      <c r="J27" s="387"/>
      <c r="K27" s="387"/>
      <c r="L27" s="387"/>
      <c r="M27" s="387"/>
      <c r="N27" s="387"/>
      <c r="O27" s="387"/>
      <c r="P27" s="387"/>
      <c r="Q27" s="387"/>
      <c r="R27" s="387"/>
      <c r="S27" s="387"/>
      <c r="T27" s="387"/>
      <c r="U27" s="387"/>
      <c r="V27" s="387"/>
      <c r="W27" s="387"/>
      <c r="X27" s="387"/>
      <c r="Y27" s="387"/>
      <c r="Z27" s="387"/>
      <c r="AA27" s="387"/>
      <c r="AB27" s="387"/>
      <c r="AC27" s="387"/>
      <c r="AD27" s="387"/>
    </row>
    <row r="28" spans="1:30">
      <c r="A28" s="387"/>
      <c r="B28" s="387"/>
      <c r="C28" s="387"/>
      <c r="D28" s="387"/>
      <c r="E28" s="387"/>
      <c r="F28" s="387"/>
      <c r="G28" s="387"/>
      <c r="H28" s="387"/>
      <c r="I28" s="387"/>
      <c r="J28" s="387"/>
      <c r="K28" s="387"/>
      <c r="L28" s="387"/>
      <c r="M28" s="387"/>
      <c r="N28" s="387"/>
      <c r="O28" s="387"/>
      <c r="P28" s="387"/>
      <c r="Q28" s="387"/>
      <c r="R28" s="387"/>
      <c r="S28" s="387"/>
      <c r="T28" s="387"/>
      <c r="U28" s="387"/>
      <c r="V28" s="387"/>
      <c r="W28" s="387"/>
      <c r="X28" s="387"/>
      <c r="Y28" s="387"/>
      <c r="Z28" s="387"/>
      <c r="AA28" s="387"/>
      <c r="AB28" s="387"/>
      <c r="AC28" s="387"/>
      <c r="AD28" s="387"/>
    </row>
    <row r="29" spans="1:30">
      <c r="A29" s="387"/>
      <c r="B29" s="387"/>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87"/>
      <c r="AC29" s="387"/>
      <c r="AD29" s="387"/>
    </row>
    <row r="30" spans="1:30">
      <c r="A30" s="387"/>
      <c r="B30" s="387"/>
      <c r="C30" s="387"/>
      <c r="D30" s="387"/>
      <c r="E30" s="387"/>
      <c r="F30" s="387"/>
      <c r="G30" s="387"/>
      <c r="H30" s="387"/>
      <c r="I30" s="387"/>
      <c r="J30" s="387"/>
      <c r="K30" s="387"/>
      <c r="L30" s="387"/>
      <c r="M30" s="387"/>
      <c r="N30" s="387"/>
      <c r="O30" s="387"/>
      <c r="P30" s="387"/>
      <c r="Q30" s="387"/>
      <c r="R30" s="387"/>
      <c r="S30" s="387"/>
      <c r="T30" s="387"/>
      <c r="U30" s="387"/>
      <c r="V30" s="387"/>
      <c r="W30" s="387"/>
      <c r="X30" s="387"/>
      <c r="Y30" s="387"/>
      <c r="Z30" s="387"/>
      <c r="AA30" s="387"/>
      <c r="AB30" s="387"/>
      <c r="AC30" s="387"/>
      <c r="AD30" s="387"/>
    </row>
    <row r="31" spans="1:30">
      <c r="A31" s="387"/>
      <c r="B31" s="387"/>
      <c r="C31" s="387"/>
      <c r="D31" s="387"/>
      <c r="E31" s="387"/>
      <c r="F31" s="387"/>
      <c r="G31" s="387"/>
      <c r="H31" s="387"/>
      <c r="I31" s="387"/>
      <c r="J31" s="387"/>
      <c r="K31" s="387"/>
      <c r="L31" s="387"/>
      <c r="M31" s="387"/>
      <c r="N31" s="387"/>
      <c r="O31" s="387"/>
      <c r="P31" s="387"/>
      <c r="Q31" s="387"/>
      <c r="R31" s="387"/>
      <c r="S31" s="387"/>
      <c r="T31" s="387"/>
      <c r="U31" s="387"/>
      <c r="V31" s="387"/>
      <c r="W31" s="387"/>
      <c r="X31" s="387"/>
      <c r="Y31" s="387"/>
      <c r="Z31" s="387"/>
      <c r="AA31" s="387"/>
      <c r="AB31" s="387"/>
      <c r="AC31" s="387"/>
      <c r="AD31" s="387"/>
    </row>
    <row r="32" spans="1:30">
      <c r="A32" s="387"/>
      <c r="B32" s="387"/>
      <c r="C32" s="387"/>
      <c r="D32" s="387"/>
      <c r="E32" s="387"/>
      <c r="F32" s="387"/>
      <c r="G32" s="387"/>
      <c r="H32" s="387"/>
      <c r="I32" s="387"/>
      <c r="J32" s="387"/>
      <c r="K32" s="387"/>
      <c r="L32" s="387"/>
      <c r="M32" s="387"/>
      <c r="N32" s="387"/>
      <c r="O32" s="387"/>
      <c r="P32" s="387"/>
      <c r="Q32" s="387"/>
      <c r="R32" s="387"/>
      <c r="S32" s="387"/>
      <c r="T32" s="387"/>
      <c r="U32" s="387"/>
      <c r="V32" s="387"/>
      <c r="W32" s="387"/>
      <c r="X32" s="387"/>
      <c r="Y32" s="387"/>
      <c r="Z32" s="387"/>
      <c r="AA32" s="387"/>
      <c r="AB32" s="387"/>
      <c r="AC32" s="387"/>
      <c r="AD32" s="387"/>
    </row>
    <row r="33" spans="1:30">
      <c r="A33" s="387"/>
      <c r="B33" s="387"/>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87"/>
      <c r="AC33" s="387"/>
      <c r="AD33" s="387"/>
    </row>
    <row r="34" spans="1:30">
      <c r="A34" s="387"/>
      <c r="B34" s="387"/>
      <c r="C34" s="387"/>
      <c r="D34" s="387"/>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row>
    <row r="35" spans="1:30">
      <c r="A35" s="387"/>
      <c r="B35" s="387"/>
      <c r="C35" s="387"/>
      <c r="D35" s="387"/>
      <c r="E35" s="387"/>
      <c r="F35" s="387"/>
      <c r="G35" s="387"/>
      <c r="H35" s="387"/>
      <c r="I35" s="387"/>
      <c r="J35" s="387"/>
      <c r="K35" s="387"/>
      <c r="L35" s="387"/>
      <c r="M35" s="387"/>
      <c r="N35" s="387"/>
      <c r="O35" s="387"/>
      <c r="P35" s="387"/>
      <c r="Q35" s="387"/>
      <c r="R35" s="387"/>
      <c r="S35" s="387"/>
      <c r="T35" s="387"/>
      <c r="U35" s="387"/>
      <c r="V35" s="387"/>
      <c r="W35" s="387"/>
      <c r="X35" s="387"/>
      <c r="Y35" s="387"/>
      <c r="Z35" s="387"/>
      <c r="AA35" s="387"/>
      <c r="AB35" s="387"/>
      <c r="AC35" s="387"/>
      <c r="AD35" s="387"/>
    </row>
    <row r="36" spans="1:30">
      <c r="A36" s="387"/>
      <c r="B36" s="387"/>
      <c r="C36" s="387"/>
      <c r="D36" s="387"/>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row>
    <row r="37" spans="1:30">
      <c r="A37" s="387"/>
      <c r="B37" s="387"/>
      <c r="C37" s="387"/>
      <c r="D37" s="387"/>
      <c r="E37" s="387"/>
      <c r="F37" s="387"/>
      <c r="G37" s="387"/>
      <c r="H37" s="387"/>
      <c r="I37" s="387"/>
      <c r="J37" s="387"/>
      <c r="K37" s="387"/>
      <c r="L37" s="387"/>
      <c r="M37" s="387"/>
      <c r="N37" s="387"/>
      <c r="O37" s="387"/>
      <c r="P37" s="387"/>
      <c r="Q37" s="387"/>
      <c r="R37" s="387"/>
      <c r="S37" s="387"/>
      <c r="T37" s="387"/>
      <c r="U37" s="387"/>
      <c r="V37" s="387"/>
      <c r="W37" s="387"/>
      <c r="X37" s="387"/>
      <c r="Y37" s="387"/>
      <c r="Z37" s="387"/>
      <c r="AA37" s="387"/>
      <c r="AB37" s="387"/>
      <c r="AC37" s="387"/>
      <c r="AD37" s="387"/>
    </row>
    <row r="38" spans="1:30">
      <c r="A38" s="387"/>
      <c r="B38" s="387"/>
      <c r="C38" s="387"/>
      <c r="D38" s="387"/>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row>
    <row r="39" spans="1:30">
      <c r="A39" s="387"/>
      <c r="B39" s="387"/>
      <c r="C39" s="387"/>
      <c r="D39" s="387"/>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row>
    <row r="40" spans="1:30">
      <c r="A40" s="387"/>
      <c r="B40" s="387"/>
      <c r="C40" s="387"/>
      <c r="D40" s="387"/>
      <c r="E40" s="387"/>
      <c r="F40" s="387"/>
      <c r="G40" s="387"/>
      <c r="H40" s="387"/>
      <c r="I40" s="387"/>
      <c r="J40" s="387"/>
      <c r="K40" s="387"/>
      <c r="L40" s="387"/>
      <c r="M40" s="387"/>
      <c r="N40" s="387"/>
      <c r="O40" s="387"/>
      <c r="P40" s="387"/>
      <c r="Q40" s="387"/>
      <c r="R40" s="387"/>
      <c r="S40" s="387"/>
      <c r="T40" s="387"/>
      <c r="U40" s="387"/>
      <c r="V40" s="387"/>
      <c r="W40" s="387"/>
      <c r="X40" s="387"/>
      <c r="Y40" s="387"/>
      <c r="Z40" s="387"/>
      <c r="AA40" s="387"/>
      <c r="AB40" s="387"/>
      <c r="AC40" s="387"/>
      <c r="AD40" s="387"/>
    </row>
    <row r="41" spans="1:30">
      <c r="A41" s="387"/>
      <c r="B41" s="387"/>
      <c r="C41" s="387"/>
      <c r="D41" s="387"/>
      <c r="E41" s="387"/>
      <c r="F41" s="387"/>
      <c r="G41" s="387"/>
      <c r="H41" s="387"/>
      <c r="I41" s="387"/>
      <c r="J41" s="387"/>
      <c r="K41" s="387"/>
      <c r="L41" s="387"/>
      <c r="M41" s="387"/>
      <c r="N41" s="387"/>
      <c r="O41" s="387"/>
      <c r="P41" s="387"/>
      <c r="Q41" s="387"/>
      <c r="R41" s="387"/>
      <c r="S41" s="387"/>
      <c r="T41" s="387"/>
      <c r="U41" s="387"/>
      <c r="V41" s="387"/>
      <c r="W41" s="387"/>
      <c r="X41" s="387"/>
      <c r="Y41" s="387"/>
      <c r="Z41" s="387"/>
      <c r="AA41" s="387"/>
      <c r="AB41" s="387"/>
      <c r="AC41" s="387"/>
      <c r="AD41" s="387"/>
    </row>
    <row r="42" spans="1:30">
      <c r="A42" s="387"/>
      <c r="B42" s="387"/>
      <c r="C42" s="387"/>
      <c r="D42" s="387"/>
      <c r="E42" s="387"/>
      <c r="F42" s="387"/>
      <c r="G42" s="387"/>
      <c r="H42" s="387"/>
      <c r="I42" s="387"/>
      <c r="J42" s="387"/>
      <c r="K42" s="387"/>
      <c r="L42" s="387"/>
      <c r="M42" s="387"/>
      <c r="N42" s="387"/>
      <c r="O42" s="387"/>
      <c r="P42" s="387"/>
      <c r="Q42" s="387"/>
      <c r="R42" s="387"/>
      <c r="S42" s="387"/>
      <c r="T42" s="387"/>
      <c r="U42" s="387"/>
      <c r="V42" s="387"/>
      <c r="W42" s="387"/>
      <c r="X42" s="387"/>
      <c r="Y42" s="387"/>
      <c r="Z42" s="387"/>
      <c r="AA42" s="387"/>
      <c r="AB42" s="387"/>
      <c r="AC42" s="387"/>
      <c r="AD42" s="387"/>
    </row>
    <row r="43" spans="1:30">
      <c r="A43" s="387"/>
      <c r="B43" s="387"/>
      <c r="C43" s="387"/>
      <c r="D43" s="387"/>
      <c r="E43" s="387"/>
      <c r="F43" s="387"/>
      <c r="G43" s="387"/>
      <c r="H43" s="387"/>
      <c r="I43" s="387"/>
      <c r="J43" s="387"/>
      <c r="K43" s="387"/>
      <c r="L43" s="387"/>
      <c r="M43" s="387"/>
      <c r="N43" s="387"/>
      <c r="O43" s="387"/>
      <c r="P43" s="387"/>
      <c r="Q43" s="387"/>
      <c r="R43" s="387"/>
      <c r="S43" s="387"/>
      <c r="T43" s="387"/>
      <c r="U43" s="387"/>
      <c r="V43" s="387"/>
      <c r="W43" s="387"/>
      <c r="X43" s="387"/>
      <c r="Y43" s="387"/>
      <c r="Z43" s="387"/>
      <c r="AA43" s="387"/>
      <c r="AB43" s="387"/>
      <c r="AC43" s="387"/>
      <c r="AD43" s="387"/>
    </row>
    <row r="44" spans="1:30">
      <c r="A44" s="387"/>
      <c r="B44" s="387"/>
      <c r="C44" s="387"/>
      <c r="D44" s="387"/>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row>
    <row r="45" spans="1:30">
      <c r="A45" s="387"/>
      <c r="B45" s="387"/>
      <c r="C45" s="387"/>
      <c r="D45" s="387"/>
      <c r="E45" s="387"/>
      <c r="F45" s="387"/>
      <c r="G45" s="387"/>
      <c r="H45" s="387"/>
      <c r="I45" s="387"/>
      <c r="J45" s="387"/>
      <c r="K45" s="387"/>
      <c r="L45" s="387"/>
      <c r="M45" s="387"/>
      <c r="N45" s="387"/>
      <c r="O45" s="387"/>
      <c r="P45" s="387"/>
      <c r="Q45" s="387"/>
      <c r="R45" s="387"/>
      <c r="S45" s="387"/>
      <c r="T45" s="387"/>
      <c r="U45" s="387"/>
      <c r="V45" s="387"/>
      <c r="W45" s="387"/>
      <c r="X45" s="387"/>
      <c r="Y45" s="387"/>
      <c r="Z45" s="387"/>
      <c r="AA45" s="387"/>
      <c r="AB45" s="387"/>
      <c r="AC45" s="387"/>
      <c r="AD45" s="387"/>
    </row>
    <row r="46" spans="1:30">
      <c r="A46" s="387"/>
      <c r="B46" s="387"/>
      <c r="C46" s="387"/>
      <c r="D46" s="387"/>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row>
    <row r="47" spans="1:30">
      <c r="A47" s="387"/>
      <c r="B47" s="387"/>
      <c r="C47" s="387"/>
      <c r="D47" s="387"/>
      <c r="E47" s="387"/>
      <c r="F47" s="387"/>
      <c r="G47" s="387"/>
      <c r="H47" s="387"/>
      <c r="I47" s="387"/>
      <c r="J47" s="387"/>
      <c r="K47" s="387"/>
      <c r="L47" s="387"/>
      <c r="M47" s="387"/>
      <c r="N47" s="387"/>
      <c r="O47" s="387"/>
      <c r="P47" s="387"/>
      <c r="Q47" s="387"/>
      <c r="R47" s="387"/>
      <c r="S47" s="387"/>
      <c r="T47" s="387"/>
      <c r="U47" s="387"/>
      <c r="V47" s="387"/>
      <c r="W47" s="387"/>
      <c r="X47" s="387"/>
      <c r="Y47" s="387"/>
      <c r="Z47" s="387"/>
      <c r="AA47" s="387"/>
      <c r="AB47" s="387"/>
      <c r="AC47" s="387"/>
      <c r="AD47" s="387"/>
    </row>
    <row r="48" spans="1:30">
      <c r="A48" s="387"/>
      <c r="B48" s="387"/>
      <c r="C48" s="387"/>
      <c r="D48" s="387"/>
      <c r="E48" s="387"/>
      <c r="F48" s="387"/>
      <c r="G48" s="387"/>
      <c r="H48" s="387"/>
      <c r="I48" s="387"/>
      <c r="J48" s="387"/>
      <c r="K48" s="387"/>
      <c r="L48" s="387"/>
      <c r="M48" s="387"/>
      <c r="N48" s="387"/>
      <c r="O48" s="387"/>
      <c r="P48" s="387"/>
      <c r="Q48" s="387"/>
      <c r="R48" s="387"/>
      <c r="S48" s="387"/>
      <c r="T48" s="387"/>
      <c r="U48" s="387"/>
      <c r="V48" s="387"/>
      <c r="W48" s="387"/>
      <c r="X48" s="387"/>
      <c r="Y48" s="387"/>
      <c r="Z48" s="387"/>
      <c r="AA48" s="387"/>
      <c r="AB48" s="387"/>
      <c r="AC48" s="387"/>
      <c r="AD48" s="387"/>
    </row>
    <row r="49" spans="1:30">
      <c r="A49" s="387"/>
      <c r="B49" s="387"/>
      <c r="C49" s="387"/>
      <c r="D49" s="387"/>
      <c r="E49" s="387"/>
      <c r="F49" s="387"/>
      <c r="G49" s="387"/>
      <c r="H49" s="387"/>
      <c r="I49" s="387"/>
      <c r="J49" s="387"/>
      <c r="K49" s="387"/>
      <c r="L49" s="387"/>
      <c r="M49" s="387"/>
      <c r="N49" s="387"/>
      <c r="O49" s="387"/>
      <c r="P49" s="387"/>
      <c r="Q49" s="387"/>
      <c r="R49" s="387"/>
      <c r="S49" s="387"/>
      <c r="T49" s="387"/>
      <c r="U49" s="387"/>
      <c r="V49" s="387"/>
      <c r="W49" s="387"/>
      <c r="X49" s="387"/>
      <c r="Y49" s="387"/>
      <c r="Z49" s="387"/>
      <c r="AA49" s="387"/>
      <c r="AB49" s="387"/>
      <c r="AC49" s="387"/>
      <c r="AD49" s="387"/>
    </row>
    <row r="50" spans="1:30">
      <c r="A50" s="387"/>
      <c r="B50" s="387"/>
      <c r="C50" s="387"/>
      <c r="D50" s="387"/>
      <c r="E50" s="387"/>
      <c r="F50" s="387"/>
      <c r="G50" s="387"/>
      <c r="H50" s="387"/>
      <c r="I50" s="387"/>
      <c r="J50" s="387"/>
      <c r="K50" s="387"/>
      <c r="L50" s="387"/>
      <c r="M50" s="387"/>
      <c r="N50" s="387"/>
      <c r="O50" s="387"/>
      <c r="P50" s="387"/>
      <c r="Q50" s="387"/>
      <c r="R50" s="387"/>
      <c r="S50" s="387"/>
      <c r="T50" s="387"/>
      <c r="U50" s="387"/>
      <c r="V50" s="387"/>
      <c r="W50" s="387"/>
      <c r="X50" s="387"/>
      <c r="Y50" s="387"/>
      <c r="Z50" s="387"/>
      <c r="AA50" s="387"/>
      <c r="AB50" s="387"/>
      <c r="AC50" s="387"/>
      <c r="AD50" s="387"/>
    </row>
    <row r="51" spans="1:30">
      <c r="A51" s="387"/>
      <c r="B51" s="387"/>
      <c r="C51" s="387"/>
      <c r="D51" s="387"/>
      <c r="E51" s="387"/>
      <c r="F51" s="387"/>
      <c r="G51" s="387"/>
      <c r="H51" s="387"/>
      <c r="I51" s="387"/>
      <c r="J51" s="387"/>
      <c r="K51" s="387"/>
      <c r="L51" s="387"/>
      <c r="M51" s="387"/>
      <c r="N51" s="387"/>
      <c r="O51" s="387"/>
      <c r="P51" s="387"/>
      <c r="Q51" s="387"/>
      <c r="R51" s="387"/>
      <c r="S51" s="387"/>
      <c r="T51" s="387"/>
      <c r="U51" s="387"/>
      <c r="V51" s="387"/>
      <c r="W51" s="387"/>
      <c r="X51" s="387"/>
      <c r="Y51" s="387"/>
      <c r="Z51" s="387"/>
      <c r="AA51" s="387"/>
      <c r="AB51" s="387"/>
      <c r="AC51" s="387"/>
      <c r="AD51" s="387"/>
    </row>
    <row r="52" spans="1:30">
      <c r="A52" s="387"/>
      <c r="B52" s="387"/>
      <c r="C52" s="387"/>
      <c r="D52" s="387"/>
      <c r="E52" s="387"/>
      <c r="F52" s="387"/>
      <c r="G52" s="387"/>
      <c r="H52" s="387"/>
      <c r="I52" s="387"/>
      <c r="J52" s="387"/>
      <c r="K52" s="387"/>
      <c r="L52" s="387"/>
      <c r="M52" s="387"/>
      <c r="N52" s="387"/>
      <c r="O52" s="387"/>
      <c r="P52" s="387"/>
      <c r="Q52" s="387"/>
      <c r="R52" s="387"/>
      <c r="S52" s="387"/>
      <c r="T52" s="387"/>
      <c r="U52" s="387"/>
      <c r="V52" s="387"/>
      <c r="W52" s="387"/>
      <c r="X52" s="387"/>
      <c r="Y52" s="387"/>
      <c r="Z52" s="387"/>
      <c r="AA52" s="387"/>
      <c r="AB52" s="387"/>
      <c r="AC52" s="387"/>
      <c r="AD52" s="387"/>
    </row>
    <row r="53" spans="1:30">
      <c r="A53" s="387"/>
      <c r="B53" s="387"/>
      <c r="C53" s="387"/>
      <c r="D53" s="387"/>
      <c r="E53" s="387"/>
      <c r="F53" s="387"/>
      <c r="G53" s="387"/>
      <c r="H53" s="387"/>
      <c r="I53" s="387"/>
      <c r="J53" s="387"/>
      <c r="K53" s="387"/>
      <c r="L53" s="387"/>
      <c r="M53" s="387"/>
      <c r="N53" s="387"/>
      <c r="O53" s="387"/>
      <c r="P53" s="387"/>
      <c r="Q53" s="387"/>
      <c r="R53" s="387"/>
      <c r="S53" s="387"/>
      <c r="T53" s="387"/>
      <c r="U53" s="387"/>
      <c r="V53" s="387"/>
      <c r="W53" s="387"/>
      <c r="X53" s="387"/>
      <c r="Y53" s="387"/>
      <c r="Z53" s="387"/>
      <c r="AA53" s="387"/>
      <c r="AB53" s="387"/>
      <c r="AC53" s="387"/>
      <c r="AD53" s="387"/>
    </row>
    <row r="54" spans="1:30">
      <c r="A54" s="387"/>
      <c r="B54" s="387"/>
      <c r="C54" s="387"/>
      <c r="D54" s="387"/>
      <c r="E54" s="387"/>
      <c r="F54" s="387"/>
      <c r="G54" s="387"/>
      <c r="H54" s="387"/>
      <c r="I54" s="387"/>
      <c r="J54" s="387"/>
      <c r="K54" s="387"/>
      <c r="L54" s="387"/>
      <c r="M54" s="387"/>
      <c r="N54" s="387"/>
      <c r="O54" s="387"/>
      <c r="P54" s="387"/>
      <c r="Q54" s="387"/>
      <c r="R54" s="387"/>
      <c r="S54" s="387"/>
      <c r="T54" s="387"/>
      <c r="U54" s="387"/>
      <c r="V54" s="387"/>
      <c r="W54" s="387"/>
      <c r="X54" s="387"/>
      <c r="Y54" s="387"/>
      <c r="Z54" s="387"/>
      <c r="AA54" s="387"/>
      <c r="AB54" s="387"/>
      <c r="AC54" s="387"/>
      <c r="AD54" s="387"/>
    </row>
    <row r="55" spans="1:30">
      <c r="A55" s="387"/>
      <c r="B55" s="387"/>
      <c r="C55" s="387"/>
      <c r="D55" s="387"/>
      <c r="E55" s="387"/>
      <c r="F55" s="387"/>
      <c r="G55" s="387"/>
      <c r="H55" s="387"/>
      <c r="I55" s="387"/>
      <c r="J55" s="387"/>
      <c r="K55" s="387"/>
      <c r="L55" s="387"/>
      <c r="M55" s="387"/>
      <c r="N55" s="387"/>
      <c r="O55" s="387"/>
      <c r="P55" s="387"/>
      <c r="Q55" s="387"/>
      <c r="R55" s="387"/>
      <c r="S55" s="387"/>
      <c r="T55" s="387"/>
      <c r="U55" s="387"/>
      <c r="V55" s="387"/>
      <c r="W55" s="387"/>
      <c r="X55" s="387"/>
      <c r="Y55" s="387"/>
      <c r="Z55" s="387"/>
      <c r="AA55" s="387"/>
      <c r="AB55" s="387"/>
      <c r="AC55" s="387"/>
      <c r="AD55" s="387"/>
    </row>
    <row r="56" spans="1:30">
      <c r="A56" s="387"/>
      <c r="B56" s="387"/>
      <c r="C56" s="387"/>
      <c r="D56" s="387"/>
      <c r="E56" s="387"/>
      <c r="F56" s="387"/>
      <c r="G56" s="387"/>
      <c r="H56" s="387"/>
      <c r="I56" s="387"/>
      <c r="J56" s="387"/>
      <c r="K56" s="387"/>
      <c r="L56" s="387"/>
      <c r="M56" s="387"/>
      <c r="N56" s="387"/>
      <c r="O56" s="387"/>
      <c r="P56" s="387"/>
      <c r="Q56" s="387"/>
      <c r="R56" s="387"/>
      <c r="S56" s="387"/>
      <c r="T56" s="387"/>
      <c r="U56" s="387"/>
      <c r="V56" s="387"/>
      <c r="W56" s="387"/>
      <c r="X56" s="387"/>
      <c r="Y56" s="387"/>
      <c r="Z56" s="387"/>
      <c r="AA56" s="387"/>
      <c r="AB56" s="387"/>
      <c r="AC56" s="387"/>
      <c r="AD56" s="387"/>
    </row>
    <row r="57" spans="1:30">
      <c r="A57" s="387"/>
      <c r="B57" s="387"/>
      <c r="C57" s="387"/>
      <c r="D57" s="387"/>
      <c r="E57" s="387"/>
      <c r="F57" s="387"/>
      <c r="G57" s="387"/>
      <c r="H57" s="387"/>
      <c r="I57" s="387"/>
      <c r="J57" s="387"/>
      <c r="K57" s="387"/>
      <c r="L57" s="387"/>
      <c r="M57" s="387"/>
      <c r="N57" s="387"/>
      <c r="O57" s="387"/>
      <c r="P57" s="387"/>
      <c r="Q57" s="387"/>
      <c r="R57" s="387"/>
      <c r="S57" s="387"/>
      <c r="T57" s="387"/>
      <c r="U57" s="387"/>
      <c r="V57" s="387"/>
      <c r="W57" s="387"/>
      <c r="X57" s="387"/>
      <c r="Y57" s="387"/>
      <c r="Z57" s="387"/>
      <c r="AA57" s="387"/>
      <c r="AB57" s="387"/>
      <c r="AC57" s="387"/>
      <c r="AD57" s="387"/>
    </row>
    <row r="58" spans="1:30">
      <c r="A58" s="387"/>
      <c r="B58" s="387"/>
      <c r="C58" s="387"/>
      <c r="D58" s="387"/>
      <c r="E58" s="387"/>
      <c r="F58" s="387"/>
      <c r="G58" s="387"/>
      <c r="H58" s="387"/>
      <c r="I58" s="387"/>
      <c r="J58" s="387"/>
      <c r="K58" s="387"/>
      <c r="L58" s="387"/>
      <c r="M58" s="387"/>
      <c r="N58" s="387"/>
      <c r="O58" s="387"/>
      <c r="P58" s="387"/>
      <c r="Q58" s="387"/>
      <c r="R58" s="387"/>
      <c r="S58" s="387"/>
      <c r="T58" s="387"/>
      <c r="U58" s="387"/>
      <c r="V58" s="387"/>
      <c r="W58" s="387"/>
      <c r="X58" s="387"/>
      <c r="Y58" s="387"/>
      <c r="Z58" s="387"/>
      <c r="AA58" s="387"/>
      <c r="AB58" s="387"/>
      <c r="AC58" s="387"/>
      <c r="AD58" s="387"/>
    </row>
    <row r="59" spans="1:30">
      <c r="A59" s="387"/>
      <c r="B59" s="387"/>
      <c r="C59" s="387"/>
      <c r="D59" s="387"/>
      <c r="E59" s="387"/>
      <c r="F59" s="387"/>
      <c r="G59" s="387"/>
      <c r="H59" s="387"/>
      <c r="I59" s="387"/>
      <c r="J59" s="387"/>
      <c r="K59" s="387"/>
      <c r="L59" s="387"/>
      <c r="M59" s="387"/>
      <c r="N59" s="387"/>
      <c r="O59" s="387"/>
      <c r="P59" s="387"/>
      <c r="Q59" s="387"/>
      <c r="R59" s="387"/>
      <c r="S59" s="387"/>
      <c r="T59" s="387"/>
      <c r="U59" s="387"/>
      <c r="V59" s="387"/>
      <c r="W59" s="387"/>
      <c r="X59" s="387"/>
      <c r="Y59" s="387"/>
      <c r="Z59" s="387"/>
      <c r="AA59" s="387"/>
      <c r="AB59" s="387"/>
      <c r="AC59" s="387"/>
      <c r="AD59" s="387"/>
    </row>
    <row r="60" spans="1:30">
      <c r="A60" s="387"/>
      <c r="B60" s="387"/>
      <c r="C60" s="387"/>
      <c r="D60" s="387"/>
      <c r="E60" s="387"/>
      <c r="F60" s="387"/>
      <c r="G60" s="387"/>
      <c r="H60" s="387"/>
      <c r="I60" s="387"/>
      <c r="J60" s="387"/>
      <c r="K60" s="387"/>
      <c r="L60" s="387"/>
      <c r="M60" s="387"/>
      <c r="N60" s="387"/>
      <c r="O60" s="387"/>
      <c r="P60" s="387"/>
      <c r="Q60" s="387"/>
      <c r="R60" s="387"/>
      <c r="S60" s="387"/>
      <c r="T60" s="387"/>
      <c r="U60" s="387"/>
      <c r="V60" s="387"/>
      <c r="W60" s="387"/>
      <c r="X60" s="387"/>
      <c r="Y60" s="387"/>
      <c r="Z60" s="387"/>
      <c r="AA60" s="387"/>
      <c r="AB60" s="387"/>
      <c r="AC60" s="387"/>
      <c r="AD60" s="387"/>
    </row>
    <row r="61" spans="1:30">
      <c r="A61" s="387"/>
      <c r="B61" s="387"/>
      <c r="C61" s="387"/>
      <c r="D61" s="387"/>
      <c r="E61" s="387"/>
      <c r="F61" s="387"/>
      <c r="G61" s="387"/>
      <c r="H61" s="387"/>
      <c r="I61" s="387"/>
      <c r="J61" s="387"/>
      <c r="K61" s="387"/>
      <c r="L61" s="387"/>
      <c r="M61" s="387"/>
      <c r="N61" s="387"/>
      <c r="O61" s="387"/>
      <c r="P61" s="387"/>
      <c r="Q61" s="387"/>
      <c r="R61" s="387"/>
      <c r="S61" s="387"/>
      <c r="T61" s="387"/>
      <c r="U61" s="387"/>
      <c r="V61" s="387"/>
      <c r="W61" s="387"/>
      <c r="X61" s="387"/>
      <c r="Y61" s="387"/>
      <c r="Z61" s="387"/>
      <c r="AA61" s="387"/>
      <c r="AB61" s="387"/>
      <c r="AC61" s="387"/>
      <c r="AD61" s="387"/>
    </row>
    <row r="62" spans="1:30">
      <c r="A62" s="387"/>
      <c r="B62" s="387"/>
      <c r="C62" s="387"/>
      <c r="D62" s="387"/>
      <c r="E62" s="387"/>
      <c r="F62" s="387"/>
      <c r="G62" s="387"/>
      <c r="H62" s="387"/>
      <c r="I62" s="387"/>
      <c r="J62" s="387"/>
      <c r="K62" s="387"/>
      <c r="L62" s="387"/>
      <c r="M62" s="387"/>
      <c r="N62" s="387"/>
      <c r="O62" s="387"/>
      <c r="P62" s="387"/>
      <c r="Q62" s="387"/>
      <c r="R62" s="387"/>
      <c r="S62" s="387"/>
      <c r="T62" s="387"/>
      <c r="U62" s="387"/>
      <c r="V62" s="387"/>
      <c r="W62" s="387"/>
      <c r="X62" s="387"/>
      <c r="Y62" s="387"/>
      <c r="Z62" s="387"/>
      <c r="AA62" s="387"/>
      <c r="AB62" s="387"/>
      <c r="AC62" s="387"/>
      <c r="AD62" s="387"/>
    </row>
    <row r="63" spans="1:30">
      <c r="A63" s="387"/>
      <c r="B63" s="387"/>
      <c r="C63" s="387"/>
      <c r="D63" s="387"/>
      <c r="E63" s="387"/>
      <c r="F63" s="387"/>
      <c r="G63" s="387"/>
      <c r="H63" s="387"/>
      <c r="I63" s="387"/>
      <c r="J63" s="387"/>
      <c r="K63" s="387"/>
      <c r="L63" s="387"/>
      <c r="M63" s="387"/>
      <c r="N63" s="387"/>
      <c r="O63" s="387"/>
      <c r="P63" s="387"/>
      <c r="Q63" s="387"/>
      <c r="R63" s="387"/>
      <c r="S63" s="387"/>
      <c r="T63" s="387"/>
      <c r="U63" s="387"/>
      <c r="V63" s="387"/>
      <c r="W63" s="387"/>
      <c r="X63" s="387"/>
      <c r="Y63" s="387"/>
      <c r="Z63" s="387"/>
      <c r="AA63" s="387"/>
      <c r="AB63" s="387"/>
      <c r="AC63" s="387"/>
      <c r="AD63" s="387"/>
    </row>
    <row r="64" spans="1:30">
      <c r="A64" s="387"/>
      <c r="B64" s="387"/>
      <c r="C64" s="387"/>
      <c r="D64" s="387"/>
      <c r="E64" s="387"/>
      <c r="F64" s="387"/>
      <c r="G64" s="387"/>
      <c r="H64" s="387"/>
      <c r="I64" s="387"/>
      <c r="J64" s="387"/>
      <c r="K64" s="387"/>
      <c r="L64" s="387"/>
      <c r="M64" s="387"/>
      <c r="N64" s="387"/>
      <c r="O64" s="387"/>
      <c r="P64" s="387"/>
      <c r="Q64" s="387"/>
      <c r="R64" s="387"/>
      <c r="S64" s="387"/>
      <c r="T64" s="387"/>
      <c r="U64" s="387"/>
      <c r="V64" s="387"/>
      <c r="W64" s="387"/>
      <c r="X64" s="387"/>
      <c r="Y64" s="387"/>
      <c r="Z64" s="387"/>
      <c r="AA64" s="387"/>
      <c r="AB64" s="387"/>
      <c r="AC64" s="387"/>
      <c r="AD64" s="387"/>
    </row>
    <row r="65" spans="1:30">
      <c r="A65" s="387"/>
      <c r="B65" s="387"/>
      <c r="C65" s="387"/>
      <c r="D65" s="387"/>
      <c r="E65" s="387"/>
      <c r="F65" s="387"/>
      <c r="G65" s="387"/>
      <c r="H65" s="387"/>
      <c r="I65" s="387"/>
      <c r="J65" s="387"/>
      <c r="K65" s="387"/>
      <c r="L65" s="387"/>
      <c r="M65" s="387"/>
      <c r="N65" s="387"/>
      <c r="O65" s="387"/>
      <c r="P65" s="387"/>
      <c r="Q65" s="387"/>
      <c r="R65" s="387"/>
      <c r="S65" s="387"/>
      <c r="T65" s="387"/>
      <c r="U65" s="387"/>
      <c r="V65" s="387"/>
      <c r="W65" s="387"/>
      <c r="X65" s="387"/>
      <c r="Y65" s="387"/>
      <c r="Z65" s="387"/>
      <c r="AA65" s="387"/>
      <c r="AB65" s="387"/>
      <c r="AC65" s="387"/>
      <c r="AD65" s="387"/>
    </row>
    <row r="66" spans="1:30">
      <c r="A66" s="387"/>
      <c r="B66" s="387"/>
      <c r="C66" s="387"/>
      <c r="D66" s="387"/>
      <c r="E66" s="387"/>
      <c r="F66" s="387"/>
      <c r="G66" s="387"/>
      <c r="H66" s="387"/>
      <c r="I66" s="387"/>
      <c r="J66" s="387"/>
      <c r="K66" s="387"/>
      <c r="L66" s="387"/>
      <c r="M66" s="387"/>
      <c r="N66" s="387"/>
      <c r="O66" s="387"/>
      <c r="P66" s="387"/>
      <c r="Q66" s="387"/>
      <c r="R66" s="387"/>
      <c r="S66" s="387"/>
      <c r="T66" s="387"/>
      <c r="U66" s="387"/>
      <c r="V66" s="387"/>
      <c r="W66" s="387"/>
      <c r="X66" s="387"/>
      <c r="Y66" s="387"/>
      <c r="Z66" s="387"/>
      <c r="AA66" s="387"/>
      <c r="AB66" s="387"/>
      <c r="AC66" s="387"/>
      <c r="AD66" s="387"/>
    </row>
    <row r="67" spans="1:30">
      <c r="A67" s="387"/>
      <c r="B67" s="387"/>
      <c r="C67" s="387"/>
      <c r="D67" s="387"/>
      <c r="E67" s="387"/>
      <c r="F67" s="387"/>
      <c r="G67" s="387"/>
      <c r="H67" s="387"/>
      <c r="I67" s="387"/>
      <c r="J67" s="387"/>
      <c r="K67" s="387"/>
      <c r="L67" s="387"/>
      <c r="M67" s="387"/>
      <c r="N67" s="387"/>
      <c r="O67" s="387"/>
      <c r="P67" s="387"/>
      <c r="Q67" s="387"/>
      <c r="R67" s="387"/>
      <c r="S67" s="387"/>
      <c r="T67" s="387"/>
      <c r="U67" s="387"/>
      <c r="V67" s="387"/>
      <c r="W67" s="387"/>
      <c r="X67" s="387"/>
      <c r="Y67" s="387"/>
      <c r="Z67" s="387"/>
      <c r="AA67" s="387"/>
      <c r="AB67" s="387"/>
      <c r="AC67" s="387"/>
      <c r="AD67" s="387"/>
    </row>
    <row r="68" spans="1:30">
      <c r="A68" s="387"/>
      <c r="B68" s="387"/>
      <c r="C68" s="387"/>
      <c r="D68" s="387"/>
      <c r="E68" s="387"/>
      <c r="F68" s="387"/>
      <c r="G68" s="387"/>
      <c r="H68" s="387"/>
      <c r="I68" s="387"/>
      <c r="J68" s="387"/>
      <c r="K68" s="387"/>
      <c r="L68" s="387"/>
      <c r="M68" s="387"/>
      <c r="N68" s="387"/>
      <c r="O68" s="387"/>
      <c r="P68" s="387"/>
      <c r="Q68" s="387"/>
      <c r="R68" s="387"/>
      <c r="S68" s="387"/>
      <c r="T68" s="387"/>
      <c r="U68" s="387"/>
      <c r="V68" s="387"/>
      <c r="W68" s="387"/>
      <c r="X68" s="387"/>
      <c r="Y68" s="387"/>
      <c r="Z68" s="387"/>
      <c r="AA68" s="387"/>
      <c r="AB68" s="387"/>
      <c r="AC68" s="387"/>
      <c r="AD68" s="387"/>
    </row>
    <row r="69" spans="1:30">
      <c r="A69" s="387"/>
      <c r="B69" s="387"/>
      <c r="C69" s="387"/>
      <c r="D69" s="387"/>
      <c r="E69" s="387"/>
      <c r="F69" s="387"/>
      <c r="G69" s="387"/>
      <c r="H69" s="387"/>
      <c r="I69" s="387"/>
      <c r="J69" s="387"/>
      <c r="K69" s="387"/>
      <c r="L69" s="387"/>
      <c r="M69" s="387"/>
      <c r="N69" s="387"/>
      <c r="O69" s="387"/>
      <c r="P69" s="387"/>
      <c r="Q69" s="387"/>
      <c r="R69" s="387"/>
      <c r="S69" s="387"/>
      <c r="T69" s="387"/>
      <c r="U69" s="387"/>
      <c r="V69" s="387"/>
      <c r="W69" s="387"/>
      <c r="X69" s="387"/>
      <c r="Y69" s="387"/>
      <c r="Z69" s="387"/>
      <c r="AA69" s="387"/>
      <c r="AB69" s="387"/>
      <c r="AC69" s="387"/>
      <c r="AD69" s="387"/>
    </row>
    <row r="70" spans="1:30">
      <c r="A70" s="387"/>
      <c r="B70" s="387"/>
      <c r="C70" s="387"/>
      <c r="D70" s="387"/>
      <c r="E70" s="387"/>
      <c r="F70" s="387"/>
      <c r="G70" s="387"/>
      <c r="H70" s="387"/>
      <c r="I70" s="387"/>
      <c r="J70" s="387"/>
      <c r="K70" s="387"/>
      <c r="L70" s="387"/>
      <c r="M70" s="387"/>
      <c r="N70" s="387"/>
      <c r="O70" s="387"/>
      <c r="P70" s="387"/>
      <c r="Q70" s="387"/>
      <c r="R70" s="387"/>
      <c r="S70" s="387"/>
      <c r="T70" s="387"/>
      <c r="U70" s="387"/>
      <c r="V70" s="387"/>
      <c r="W70" s="387"/>
      <c r="X70" s="387"/>
      <c r="Y70" s="387"/>
      <c r="Z70" s="387"/>
      <c r="AA70" s="387"/>
      <c r="AB70" s="387"/>
      <c r="AC70" s="387"/>
      <c r="AD70" s="387"/>
    </row>
    <row r="71" spans="1:30">
      <c r="A71" s="387"/>
      <c r="B71" s="387"/>
      <c r="C71" s="387"/>
      <c r="D71" s="387"/>
      <c r="E71" s="387"/>
      <c r="F71" s="387"/>
      <c r="G71" s="387"/>
      <c r="H71" s="387"/>
      <c r="I71" s="387"/>
      <c r="J71" s="387"/>
      <c r="K71" s="387"/>
      <c r="L71" s="387"/>
      <c r="M71" s="387"/>
      <c r="N71" s="387"/>
      <c r="O71" s="387"/>
      <c r="P71" s="387"/>
      <c r="Q71" s="387"/>
      <c r="R71" s="387"/>
      <c r="S71" s="387"/>
      <c r="T71" s="387"/>
      <c r="U71" s="387"/>
      <c r="V71" s="387"/>
      <c r="W71" s="387"/>
      <c r="X71" s="387"/>
      <c r="Y71" s="387"/>
      <c r="Z71" s="387"/>
      <c r="AA71" s="387"/>
      <c r="AB71" s="387"/>
      <c r="AC71" s="387"/>
      <c r="AD71" s="387"/>
    </row>
    <row r="72" spans="1:30">
      <c r="A72" s="387"/>
      <c r="B72" s="387"/>
      <c r="C72" s="387"/>
      <c r="D72" s="387"/>
      <c r="E72" s="387"/>
      <c r="F72" s="387"/>
      <c r="G72" s="387"/>
      <c r="H72" s="387"/>
      <c r="I72" s="387"/>
      <c r="J72" s="387"/>
      <c r="K72" s="387"/>
      <c r="L72" s="387"/>
      <c r="M72" s="387"/>
      <c r="N72" s="387"/>
      <c r="O72" s="387"/>
      <c r="P72" s="387"/>
      <c r="Q72" s="387"/>
      <c r="R72" s="387"/>
      <c r="S72" s="387"/>
      <c r="T72" s="387"/>
      <c r="U72" s="387"/>
      <c r="V72" s="387"/>
      <c r="W72" s="387"/>
      <c r="X72" s="387"/>
      <c r="Y72" s="387"/>
      <c r="Z72" s="387"/>
      <c r="AA72" s="387"/>
      <c r="AB72" s="387"/>
      <c r="AC72" s="387"/>
      <c r="AD72" s="387"/>
    </row>
    <row r="73" spans="1:30">
      <c r="A73" s="387"/>
      <c r="B73" s="387"/>
      <c r="C73" s="387"/>
      <c r="D73" s="387"/>
      <c r="E73" s="387"/>
      <c r="F73" s="387"/>
      <c r="G73" s="387"/>
      <c r="H73" s="387"/>
      <c r="I73" s="387"/>
      <c r="J73" s="387"/>
      <c r="K73" s="387"/>
      <c r="L73" s="387"/>
      <c r="M73" s="387"/>
      <c r="N73" s="387"/>
      <c r="O73" s="387"/>
      <c r="P73" s="387"/>
      <c r="Q73" s="387"/>
      <c r="R73" s="387"/>
      <c r="S73" s="387"/>
      <c r="T73" s="387"/>
      <c r="U73" s="387"/>
      <c r="V73" s="387"/>
      <c r="W73" s="387"/>
      <c r="X73" s="387"/>
      <c r="Y73" s="387"/>
      <c r="Z73" s="387"/>
      <c r="AA73" s="387"/>
      <c r="AB73" s="387"/>
      <c r="AC73" s="387"/>
      <c r="AD73" s="387"/>
    </row>
    <row r="74" spans="1:30">
      <c r="A74" s="387"/>
      <c r="B74" s="387"/>
      <c r="C74" s="387"/>
      <c r="D74" s="387"/>
      <c r="E74" s="387"/>
      <c r="F74" s="387"/>
      <c r="G74" s="387"/>
      <c r="H74" s="387"/>
      <c r="I74" s="387"/>
      <c r="J74" s="387"/>
      <c r="K74" s="387"/>
      <c r="L74" s="387"/>
      <c r="M74" s="387"/>
      <c r="N74" s="387"/>
      <c r="O74" s="387"/>
      <c r="P74" s="387"/>
      <c r="Q74" s="387"/>
      <c r="R74" s="387"/>
      <c r="S74" s="387"/>
      <c r="T74" s="387"/>
      <c r="U74" s="387"/>
      <c r="V74" s="387"/>
      <c r="W74" s="387"/>
      <c r="X74" s="387"/>
      <c r="Y74" s="387"/>
      <c r="Z74" s="387"/>
      <c r="AA74" s="387"/>
      <c r="AB74" s="387"/>
      <c r="AC74" s="387"/>
      <c r="AD74" s="387"/>
    </row>
    <row r="75" spans="1:30">
      <c r="A75" s="387"/>
      <c r="B75" s="387"/>
      <c r="C75" s="387"/>
      <c r="D75" s="387"/>
      <c r="E75" s="387"/>
      <c r="F75" s="387"/>
      <c r="G75" s="387"/>
      <c r="H75" s="387"/>
      <c r="I75" s="387"/>
      <c r="J75" s="387"/>
      <c r="K75" s="387"/>
      <c r="L75" s="387"/>
      <c r="M75" s="387"/>
      <c r="N75" s="387"/>
      <c r="O75" s="387"/>
      <c r="P75" s="387"/>
      <c r="Q75" s="387"/>
      <c r="R75" s="387"/>
      <c r="S75" s="387"/>
      <c r="T75" s="387"/>
      <c r="U75" s="387"/>
      <c r="V75" s="387"/>
      <c r="W75" s="387"/>
      <c r="X75" s="387"/>
      <c r="Y75" s="387"/>
      <c r="Z75" s="387"/>
      <c r="AA75" s="387"/>
      <c r="AB75" s="387"/>
      <c r="AC75" s="387"/>
      <c r="AD75" s="387"/>
    </row>
    <row r="76" spans="1:30">
      <c r="A76" s="387"/>
      <c r="B76" s="387"/>
      <c r="C76" s="387"/>
      <c r="D76" s="387"/>
      <c r="E76" s="387"/>
      <c r="F76" s="387"/>
      <c r="G76" s="387"/>
      <c r="H76" s="387"/>
      <c r="I76" s="387"/>
      <c r="J76" s="387"/>
      <c r="K76" s="387"/>
      <c r="L76" s="387"/>
      <c r="M76" s="387"/>
      <c r="N76" s="387"/>
      <c r="O76" s="387"/>
      <c r="P76" s="387"/>
      <c r="Q76" s="387"/>
      <c r="R76" s="387"/>
      <c r="S76" s="387"/>
      <c r="T76" s="387"/>
      <c r="U76" s="387"/>
      <c r="V76" s="387"/>
      <c r="W76" s="387"/>
      <c r="X76" s="387"/>
      <c r="Y76" s="387"/>
      <c r="Z76" s="387"/>
      <c r="AA76" s="387"/>
      <c r="AB76" s="387"/>
      <c r="AC76" s="387"/>
      <c r="AD76" s="387"/>
    </row>
    <row r="77" spans="1:30">
      <c r="A77" s="387"/>
      <c r="B77" s="387"/>
      <c r="C77" s="387"/>
      <c r="D77" s="387"/>
      <c r="E77" s="387"/>
      <c r="F77" s="387"/>
      <c r="G77" s="387"/>
      <c r="H77" s="387"/>
      <c r="I77" s="387"/>
      <c r="J77" s="387"/>
      <c r="K77" s="387"/>
      <c r="L77" s="387"/>
      <c r="M77" s="387"/>
      <c r="N77" s="387"/>
      <c r="O77" s="387"/>
      <c r="P77" s="387"/>
      <c r="Q77" s="387"/>
      <c r="R77" s="387"/>
      <c r="S77" s="387"/>
      <c r="T77" s="387"/>
      <c r="U77" s="387"/>
      <c r="V77" s="387"/>
      <c r="W77" s="387"/>
      <c r="X77" s="387"/>
      <c r="Y77" s="387"/>
      <c r="Z77" s="387"/>
      <c r="AA77" s="387"/>
      <c r="AB77" s="387"/>
      <c r="AC77" s="387"/>
      <c r="AD77" s="387"/>
    </row>
    <row r="78" spans="1:30">
      <c r="A78" s="387"/>
      <c r="B78" s="387"/>
      <c r="C78" s="387"/>
      <c r="D78" s="387"/>
      <c r="E78" s="387"/>
      <c r="F78" s="387"/>
      <c r="G78" s="387"/>
      <c r="H78" s="387"/>
      <c r="I78" s="387"/>
      <c r="J78" s="387"/>
      <c r="K78" s="387"/>
      <c r="L78" s="387"/>
      <c r="M78" s="387"/>
      <c r="N78" s="387"/>
      <c r="O78" s="387"/>
      <c r="P78" s="387"/>
      <c r="Q78" s="387"/>
      <c r="R78" s="387"/>
      <c r="S78" s="387"/>
      <c r="T78" s="387"/>
      <c r="U78" s="387"/>
      <c r="V78" s="387"/>
      <c r="W78" s="387"/>
      <c r="X78" s="387"/>
      <c r="Y78" s="387"/>
      <c r="Z78" s="387"/>
      <c r="AA78" s="387"/>
      <c r="AB78" s="387"/>
      <c r="AC78" s="387"/>
      <c r="AD78" s="387"/>
    </row>
    <row r="79" spans="1:30">
      <c r="A79" s="387"/>
      <c r="B79" s="387"/>
      <c r="C79" s="387"/>
      <c r="D79" s="387"/>
      <c r="E79" s="387"/>
      <c r="F79" s="387"/>
      <c r="G79" s="387"/>
      <c r="H79" s="387"/>
      <c r="I79" s="387"/>
      <c r="J79" s="387"/>
      <c r="K79" s="387"/>
      <c r="L79" s="387"/>
      <c r="M79" s="387"/>
      <c r="N79" s="387"/>
      <c r="O79" s="387"/>
      <c r="P79" s="387"/>
      <c r="Q79" s="387"/>
      <c r="R79" s="387"/>
      <c r="S79" s="387"/>
      <c r="T79" s="387"/>
      <c r="U79" s="387"/>
      <c r="V79" s="387"/>
      <c r="W79" s="387"/>
      <c r="X79" s="387"/>
      <c r="Y79" s="387"/>
      <c r="Z79" s="387"/>
      <c r="AA79" s="387"/>
      <c r="AB79" s="387"/>
      <c r="AC79" s="387"/>
      <c r="AD79" s="387"/>
    </row>
    <row r="80" spans="1:30">
      <c r="A80" s="387"/>
      <c r="B80" s="387"/>
      <c r="C80" s="387"/>
      <c r="D80" s="387"/>
      <c r="E80" s="387"/>
      <c r="F80" s="387"/>
      <c r="G80" s="387"/>
      <c r="H80" s="387"/>
      <c r="I80" s="387"/>
      <c r="J80" s="387"/>
      <c r="K80" s="387"/>
      <c r="L80" s="387"/>
      <c r="M80" s="387"/>
      <c r="N80" s="387"/>
      <c r="O80" s="387"/>
      <c r="P80" s="387"/>
      <c r="Q80" s="387"/>
      <c r="R80" s="387"/>
      <c r="S80" s="387"/>
      <c r="T80" s="387"/>
      <c r="U80" s="387"/>
      <c r="V80" s="387"/>
      <c r="W80" s="387"/>
      <c r="X80" s="387"/>
      <c r="Y80" s="387"/>
      <c r="Z80" s="387"/>
      <c r="AA80" s="387"/>
      <c r="AB80" s="387"/>
      <c r="AC80" s="387"/>
      <c r="AD80" s="387"/>
    </row>
    <row r="81" spans="1:30">
      <c r="A81" s="387"/>
      <c r="B81" s="387"/>
      <c r="C81" s="387"/>
      <c r="D81" s="387"/>
      <c r="E81" s="387"/>
      <c r="F81" s="387"/>
      <c r="G81" s="387"/>
      <c r="H81" s="387"/>
      <c r="I81" s="387"/>
      <c r="J81" s="387"/>
      <c r="K81" s="387"/>
      <c r="L81" s="387"/>
      <c r="M81" s="387"/>
      <c r="N81" s="387"/>
      <c r="O81" s="387"/>
      <c r="P81" s="387"/>
      <c r="Q81" s="387"/>
      <c r="R81" s="387"/>
      <c r="S81" s="387"/>
      <c r="T81" s="387"/>
      <c r="U81" s="387"/>
      <c r="V81" s="387"/>
      <c r="W81" s="387"/>
      <c r="X81" s="387"/>
      <c r="Y81" s="387"/>
      <c r="Z81" s="387"/>
      <c r="AA81" s="387"/>
      <c r="AB81" s="387"/>
      <c r="AC81" s="387"/>
      <c r="AD81" s="387"/>
    </row>
    <row r="82" spans="1:30">
      <c r="A82" s="387"/>
      <c r="B82" s="387"/>
      <c r="C82" s="387"/>
      <c r="D82" s="387"/>
      <c r="E82" s="387"/>
      <c r="F82" s="387"/>
      <c r="G82" s="387"/>
      <c r="H82" s="387"/>
      <c r="I82" s="387"/>
      <c r="J82" s="387"/>
      <c r="K82" s="387"/>
      <c r="L82" s="387"/>
      <c r="M82" s="387"/>
      <c r="N82" s="387"/>
      <c r="O82" s="387"/>
      <c r="P82" s="387"/>
      <c r="Q82" s="387"/>
      <c r="R82" s="387"/>
      <c r="S82" s="387"/>
      <c r="T82" s="387"/>
      <c r="U82" s="387"/>
      <c r="V82" s="387"/>
      <c r="W82" s="387"/>
      <c r="X82" s="387"/>
      <c r="Y82" s="387"/>
      <c r="Z82" s="387"/>
      <c r="AA82" s="387"/>
      <c r="AB82" s="387"/>
      <c r="AC82" s="387"/>
      <c r="AD82" s="387"/>
    </row>
    <row r="83" spans="1:30">
      <c r="A83" s="387"/>
      <c r="B83" s="387"/>
      <c r="C83" s="387"/>
      <c r="D83" s="387"/>
      <c r="E83" s="387"/>
      <c r="F83" s="387"/>
      <c r="G83" s="387"/>
      <c r="H83" s="387"/>
      <c r="I83" s="387"/>
      <c r="J83" s="387"/>
      <c r="K83" s="387"/>
      <c r="L83" s="387"/>
      <c r="M83" s="387"/>
      <c r="N83" s="387"/>
      <c r="O83" s="387"/>
      <c r="P83" s="387"/>
      <c r="Q83" s="387"/>
      <c r="R83" s="387"/>
      <c r="S83" s="387"/>
      <c r="T83" s="387"/>
      <c r="U83" s="387"/>
      <c r="V83" s="387"/>
      <c r="W83" s="387"/>
      <c r="X83" s="387"/>
      <c r="Y83" s="387"/>
      <c r="Z83" s="387"/>
      <c r="AA83" s="387"/>
      <c r="AB83" s="387"/>
      <c r="AC83" s="387"/>
      <c r="AD83" s="387"/>
    </row>
    <row r="84" spans="1:30">
      <c r="A84" s="387"/>
      <c r="B84" s="387"/>
      <c r="C84" s="387"/>
      <c r="D84" s="387"/>
      <c r="E84" s="387"/>
      <c r="F84" s="387"/>
      <c r="G84" s="387"/>
      <c r="H84" s="387"/>
      <c r="I84" s="387"/>
      <c r="J84" s="387"/>
      <c r="K84" s="387"/>
      <c r="L84" s="387"/>
      <c r="M84" s="387"/>
      <c r="N84" s="387"/>
      <c r="O84" s="387"/>
      <c r="P84" s="387"/>
      <c r="Q84" s="387"/>
      <c r="R84" s="387"/>
      <c r="S84" s="387"/>
      <c r="T84" s="387"/>
      <c r="U84" s="387"/>
      <c r="V84" s="387"/>
      <c r="W84" s="387"/>
      <c r="X84" s="387"/>
      <c r="Y84" s="387"/>
      <c r="Z84" s="387"/>
      <c r="AA84" s="387"/>
      <c r="AB84" s="387"/>
      <c r="AC84" s="387"/>
      <c r="AD84" s="387"/>
    </row>
    <row r="85" spans="1:30">
      <c r="A85" s="387"/>
      <c r="B85" s="387"/>
      <c r="C85" s="387"/>
      <c r="D85" s="387"/>
      <c r="E85" s="387"/>
      <c r="F85" s="387"/>
      <c r="G85" s="387"/>
      <c r="H85" s="387"/>
      <c r="I85" s="387"/>
      <c r="J85" s="387"/>
      <c r="K85" s="387"/>
      <c r="L85" s="387"/>
      <c r="M85" s="387"/>
      <c r="N85" s="387"/>
      <c r="O85" s="387"/>
      <c r="P85" s="387"/>
      <c r="Q85" s="387"/>
      <c r="R85" s="387"/>
      <c r="S85" s="387"/>
      <c r="T85" s="387"/>
      <c r="U85" s="387"/>
      <c r="V85" s="387"/>
      <c r="W85" s="387"/>
      <c r="X85" s="387"/>
      <c r="Y85" s="387"/>
      <c r="Z85" s="387"/>
      <c r="AA85" s="387"/>
      <c r="AB85" s="387"/>
      <c r="AC85" s="387"/>
      <c r="AD85" s="387"/>
    </row>
    <row r="86" spans="1:30">
      <c r="A86" s="387"/>
      <c r="B86" s="387"/>
      <c r="C86" s="387"/>
      <c r="D86" s="387"/>
      <c r="E86" s="387"/>
      <c r="F86" s="387"/>
      <c r="G86" s="387"/>
      <c r="H86" s="387"/>
      <c r="I86" s="387"/>
      <c r="J86" s="387"/>
      <c r="K86" s="387"/>
      <c r="L86" s="387"/>
      <c r="M86" s="387"/>
      <c r="N86" s="387"/>
      <c r="O86" s="387"/>
      <c r="P86" s="387"/>
      <c r="Q86" s="387"/>
      <c r="R86" s="387"/>
      <c r="S86" s="387"/>
      <c r="T86" s="387"/>
      <c r="U86" s="387"/>
      <c r="V86" s="387"/>
      <c r="W86" s="387"/>
      <c r="X86" s="387"/>
      <c r="Y86" s="387"/>
      <c r="Z86" s="387"/>
      <c r="AA86" s="387"/>
      <c r="AB86" s="387"/>
      <c r="AC86" s="387"/>
      <c r="AD86" s="387"/>
    </row>
    <row r="87" spans="1:30">
      <c r="A87" s="387"/>
      <c r="B87" s="387"/>
      <c r="C87" s="387"/>
      <c r="D87" s="387"/>
      <c r="E87" s="387"/>
      <c r="F87" s="387"/>
      <c r="G87" s="387"/>
      <c r="H87" s="387"/>
      <c r="I87" s="387"/>
      <c r="J87" s="387"/>
      <c r="K87" s="387"/>
      <c r="L87" s="387"/>
      <c r="M87" s="387"/>
      <c r="N87" s="387"/>
      <c r="O87" s="387"/>
      <c r="P87" s="387"/>
      <c r="Q87" s="387"/>
      <c r="R87" s="387"/>
      <c r="S87" s="387"/>
      <c r="T87" s="387"/>
      <c r="U87" s="387"/>
      <c r="V87" s="387"/>
      <c r="W87" s="387"/>
      <c r="X87" s="387"/>
      <c r="Y87" s="387"/>
      <c r="Z87" s="387"/>
      <c r="AA87" s="387"/>
      <c r="AB87" s="387"/>
      <c r="AC87" s="387"/>
      <c r="AD87" s="387"/>
    </row>
    <row r="88" spans="1:30">
      <c r="A88" s="387"/>
      <c r="B88" s="387"/>
      <c r="C88" s="387"/>
      <c r="D88" s="387"/>
      <c r="E88" s="387"/>
      <c r="F88" s="387"/>
      <c r="G88" s="387"/>
      <c r="H88" s="387"/>
      <c r="I88" s="387"/>
      <c r="J88" s="387"/>
      <c r="K88" s="387"/>
      <c r="L88" s="387"/>
      <c r="M88" s="387"/>
      <c r="N88" s="387"/>
      <c r="O88" s="387"/>
      <c r="P88" s="387"/>
      <c r="Q88" s="387"/>
      <c r="R88" s="387"/>
      <c r="S88" s="387"/>
      <c r="T88" s="387"/>
      <c r="U88" s="387"/>
      <c r="V88" s="387"/>
      <c r="W88" s="387"/>
      <c r="X88" s="387"/>
      <c r="Y88" s="387"/>
      <c r="Z88" s="387"/>
      <c r="AA88" s="387"/>
      <c r="AB88" s="387"/>
      <c r="AC88" s="387"/>
      <c r="AD88" s="387"/>
    </row>
    <row r="89" spans="1:30">
      <c r="A89" s="387"/>
      <c r="B89" s="387"/>
      <c r="C89" s="387"/>
      <c r="D89" s="387"/>
      <c r="E89" s="387"/>
      <c r="F89" s="387"/>
      <c r="G89" s="387"/>
      <c r="H89" s="387"/>
      <c r="I89" s="387"/>
      <c r="J89" s="387"/>
      <c r="K89" s="387"/>
      <c r="L89" s="387"/>
      <c r="M89" s="387"/>
      <c r="N89" s="387"/>
      <c r="O89" s="387"/>
      <c r="P89" s="387"/>
      <c r="Q89" s="387"/>
      <c r="R89" s="387"/>
      <c r="S89" s="387"/>
      <c r="T89" s="387"/>
      <c r="U89" s="387"/>
      <c r="V89" s="387"/>
      <c r="W89" s="387"/>
      <c r="X89" s="387"/>
      <c r="Y89" s="387"/>
      <c r="Z89" s="387"/>
      <c r="AA89" s="387"/>
      <c r="AB89" s="387"/>
      <c r="AC89" s="387"/>
      <c r="AD89" s="387"/>
    </row>
    <row r="90" spans="1:30">
      <c r="A90" s="387"/>
      <c r="B90" s="387"/>
      <c r="C90" s="387"/>
      <c r="D90" s="387"/>
      <c r="E90" s="387"/>
      <c r="F90" s="387"/>
      <c r="G90" s="387"/>
      <c r="H90" s="387"/>
      <c r="I90" s="387"/>
      <c r="J90" s="387"/>
      <c r="K90" s="387"/>
      <c r="L90" s="387"/>
      <c r="M90" s="387"/>
      <c r="N90" s="387"/>
      <c r="O90" s="387"/>
      <c r="P90" s="387"/>
      <c r="Q90" s="387"/>
      <c r="R90" s="387"/>
      <c r="S90" s="387"/>
      <c r="T90" s="387"/>
      <c r="U90" s="387"/>
      <c r="V90" s="387"/>
      <c r="W90" s="387"/>
      <c r="X90" s="387"/>
      <c r="Y90" s="387"/>
      <c r="Z90" s="387"/>
      <c r="AA90" s="387"/>
      <c r="AB90" s="387"/>
      <c r="AC90" s="387"/>
      <c r="AD90" s="387"/>
    </row>
    <row r="91" spans="1:30">
      <c r="A91" s="387"/>
      <c r="B91" s="387"/>
      <c r="C91" s="387"/>
      <c r="D91" s="387"/>
      <c r="E91" s="387"/>
      <c r="F91" s="387"/>
      <c r="G91" s="387"/>
      <c r="H91" s="387"/>
      <c r="I91" s="387"/>
      <c r="J91" s="387"/>
      <c r="K91" s="387"/>
      <c r="L91" s="387"/>
      <c r="M91" s="387"/>
      <c r="N91" s="387"/>
      <c r="O91" s="387"/>
      <c r="P91" s="387"/>
      <c r="Q91" s="387"/>
      <c r="R91" s="387"/>
      <c r="S91" s="387"/>
      <c r="T91" s="387"/>
      <c r="U91" s="387"/>
      <c r="V91" s="387"/>
      <c r="W91" s="387"/>
      <c r="X91" s="387"/>
      <c r="Y91" s="387"/>
      <c r="Z91" s="387"/>
      <c r="AA91" s="387"/>
      <c r="AB91" s="387"/>
      <c r="AC91" s="387"/>
      <c r="AD91" s="387"/>
    </row>
    <row r="92" spans="1:30">
      <c r="A92" s="387"/>
      <c r="B92" s="387"/>
      <c r="C92" s="387"/>
      <c r="D92" s="387"/>
      <c r="E92" s="387"/>
      <c r="F92" s="387"/>
      <c r="G92" s="387"/>
      <c r="H92" s="387"/>
      <c r="I92" s="387"/>
      <c r="J92" s="387"/>
      <c r="K92" s="387"/>
      <c r="L92" s="387"/>
      <c r="M92" s="387"/>
      <c r="N92" s="387"/>
      <c r="O92" s="387"/>
      <c r="P92" s="387"/>
      <c r="Q92" s="387"/>
      <c r="R92" s="387"/>
      <c r="S92" s="387"/>
      <c r="T92" s="387"/>
      <c r="U92" s="387"/>
      <c r="V92" s="387"/>
      <c r="W92" s="387"/>
      <c r="X92" s="387"/>
      <c r="Y92" s="387"/>
      <c r="Z92" s="387"/>
      <c r="AA92" s="387"/>
      <c r="AB92" s="387"/>
      <c r="AC92" s="387"/>
      <c r="AD92" s="387"/>
    </row>
    <row r="93" spans="1:30">
      <c r="A93" s="387"/>
      <c r="B93" s="387"/>
      <c r="C93" s="387"/>
      <c r="D93" s="387"/>
      <c r="E93" s="387"/>
      <c r="F93" s="387"/>
      <c r="G93" s="387"/>
      <c r="H93" s="387"/>
      <c r="I93" s="387"/>
      <c r="J93" s="387"/>
      <c r="K93" s="387"/>
      <c r="L93" s="387"/>
      <c r="M93" s="387"/>
      <c r="N93" s="387"/>
      <c r="O93" s="387"/>
      <c r="P93" s="387"/>
      <c r="Q93" s="387"/>
      <c r="R93" s="387"/>
      <c r="S93" s="387"/>
      <c r="T93" s="387"/>
      <c r="U93" s="387"/>
      <c r="V93" s="387"/>
      <c r="W93" s="387"/>
      <c r="X93" s="387"/>
      <c r="Y93" s="387"/>
      <c r="Z93" s="387"/>
      <c r="AA93" s="387"/>
      <c r="AB93" s="387"/>
      <c r="AC93" s="387"/>
      <c r="AD93" s="387"/>
    </row>
    <row r="94" spans="1:30">
      <c r="A94" s="387"/>
      <c r="B94" s="387"/>
      <c r="C94" s="387"/>
      <c r="D94" s="387"/>
      <c r="E94" s="387"/>
      <c r="F94" s="387"/>
      <c r="G94" s="387"/>
      <c r="H94" s="387"/>
      <c r="I94" s="387"/>
      <c r="J94" s="387"/>
      <c r="K94" s="387"/>
      <c r="L94" s="387"/>
      <c r="M94" s="387"/>
      <c r="N94" s="387"/>
      <c r="O94" s="387"/>
      <c r="P94" s="387"/>
      <c r="Q94" s="387"/>
      <c r="R94" s="387"/>
      <c r="S94" s="387"/>
      <c r="T94" s="387"/>
      <c r="U94" s="387"/>
      <c r="V94" s="387"/>
      <c r="W94" s="387"/>
      <c r="X94" s="387"/>
      <c r="Y94" s="387"/>
      <c r="Z94" s="387"/>
      <c r="AA94" s="387"/>
      <c r="AB94" s="387"/>
      <c r="AC94" s="387"/>
      <c r="AD94" s="387"/>
    </row>
    <row r="95" spans="1:30">
      <c r="A95" s="387"/>
      <c r="B95" s="387"/>
      <c r="C95" s="387"/>
      <c r="D95" s="387"/>
      <c r="E95" s="387"/>
      <c r="F95" s="387"/>
      <c r="G95" s="387"/>
      <c r="H95" s="387"/>
      <c r="I95" s="387"/>
      <c r="J95" s="387"/>
      <c r="K95" s="387"/>
      <c r="L95" s="387"/>
      <c r="M95" s="387"/>
      <c r="N95" s="387"/>
      <c r="O95" s="387"/>
      <c r="P95" s="387"/>
      <c r="Q95" s="387"/>
      <c r="R95" s="387"/>
      <c r="S95" s="387"/>
      <c r="T95" s="387"/>
      <c r="U95" s="387"/>
      <c r="V95" s="387"/>
      <c r="W95" s="387"/>
      <c r="X95" s="387"/>
      <c r="Y95" s="387"/>
      <c r="Z95" s="387"/>
      <c r="AA95" s="387"/>
      <c r="AB95" s="387"/>
      <c r="AC95" s="387"/>
      <c r="AD95" s="387"/>
    </row>
    <row r="96" spans="1:30">
      <c r="A96" s="387"/>
      <c r="B96" s="387"/>
      <c r="C96" s="387"/>
      <c r="D96" s="387"/>
      <c r="E96" s="387"/>
      <c r="F96" s="387"/>
      <c r="G96" s="387"/>
      <c r="H96" s="387"/>
      <c r="I96" s="387"/>
      <c r="J96" s="387"/>
      <c r="K96" s="387"/>
      <c r="L96" s="387"/>
      <c r="M96" s="387"/>
      <c r="N96" s="387"/>
      <c r="O96" s="387"/>
      <c r="P96" s="387"/>
      <c r="Q96" s="387"/>
      <c r="R96" s="387"/>
      <c r="S96" s="387"/>
      <c r="T96" s="387"/>
      <c r="U96" s="387"/>
      <c r="V96" s="387"/>
      <c r="W96" s="387"/>
      <c r="X96" s="387"/>
      <c r="Y96" s="387"/>
      <c r="Z96" s="387"/>
      <c r="AA96" s="387"/>
      <c r="AB96" s="387"/>
      <c r="AC96" s="387"/>
      <c r="AD96" s="387"/>
    </row>
    <row r="97" spans="1:30">
      <c r="A97" s="387"/>
      <c r="B97" s="387"/>
      <c r="C97" s="387"/>
      <c r="D97" s="387"/>
      <c r="E97" s="387"/>
      <c r="F97" s="387"/>
      <c r="G97" s="387"/>
      <c r="H97" s="387"/>
      <c r="I97" s="387"/>
      <c r="J97" s="387"/>
      <c r="K97" s="387"/>
      <c r="L97" s="387"/>
      <c r="M97" s="387"/>
      <c r="N97" s="387"/>
      <c r="O97" s="387"/>
      <c r="P97" s="387"/>
      <c r="Q97" s="387"/>
      <c r="R97" s="387"/>
      <c r="S97" s="387"/>
      <c r="T97" s="387"/>
      <c r="U97" s="387"/>
      <c r="V97" s="387"/>
      <c r="W97" s="387"/>
      <c r="X97" s="387"/>
      <c r="Y97" s="387"/>
      <c r="Z97" s="387"/>
      <c r="AA97" s="387"/>
      <c r="AB97" s="387"/>
      <c r="AC97" s="387"/>
      <c r="AD97" s="387"/>
    </row>
    <row r="98" spans="1:30">
      <c r="A98" s="387"/>
      <c r="B98" s="387"/>
      <c r="C98" s="387"/>
      <c r="D98" s="387"/>
      <c r="E98" s="387"/>
      <c r="F98" s="387"/>
      <c r="G98" s="387"/>
      <c r="H98" s="387"/>
      <c r="I98" s="387"/>
      <c r="J98" s="387"/>
      <c r="K98" s="387"/>
      <c r="L98" s="387"/>
      <c r="M98" s="387"/>
      <c r="N98" s="387"/>
      <c r="O98" s="387"/>
      <c r="P98" s="387"/>
      <c r="Q98" s="387"/>
      <c r="R98" s="387"/>
      <c r="S98" s="387"/>
      <c r="T98" s="387"/>
      <c r="U98" s="387"/>
      <c r="V98" s="387"/>
      <c r="W98" s="387"/>
      <c r="X98" s="387"/>
      <c r="Y98" s="387"/>
      <c r="Z98" s="387"/>
      <c r="AA98" s="387"/>
      <c r="AB98" s="387"/>
      <c r="AC98" s="387"/>
      <c r="AD98" s="387"/>
    </row>
    <row r="99" spans="1:30">
      <c r="A99" s="387"/>
      <c r="B99" s="387"/>
      <c r="C99" s="387"/>
      <c r="D99" s="387"/>
      <c r="E99" s="387"/>
      <c r="F99" s="387"/>
      <c r="G99" s="387"/>
      <c r="H99" s="387"/>
      <c r="I99" s="387"/>
      <c r="J99" s="387"/>
      <c r="K99" s="387"/>
      <c r="L99" s="387"/>
      <c r="M99" s="387"/>
      <c r="N99" s="387"/>
      <c r="O99" s="387"/>
      <c r="P99" s="387"/>
      <c r="Q99" s="387"/>
      <c r="R99" s="387"/>
      <c r="S99" s="387"/>
      <c r="T99" s="387"/>
      <c r="U99" s="387"/>
      <c r="V99" s="387"/>
      <c r="W99" s="387"/>
      <c r="X99" s="387"/>
      <c r="Y99" s="387"/>
      <c r="Z99" s="387"/>
      <c r="AA99" s="387"/>
      <c r="AB99" s="387"/>
      <c r="AC99" s="387"/>
      <c r="AD99" s="387"/>
    </row>
    <row r="100" spans="1:30">
      <c r="A100" s="387"/>
      <c r="B100" s="387"/>
      <c r="C100" s="387"/>
      <c r="D100" s="387"/>
      <c r="E100" s="387"/>
      <c r="F100" s="387"/>
      <c r="G100" s="387"/>
      <c r="H100" s="387"/>
      <c r="I100" s="387"/>
      <c r="J100" s="387"/>
      <c r="K100" s="387"/>
      <c r="L100" s="387"/>
      <c r="M100" s="387"/>
      <c r="N100" s="387"/>
      <c r="O100" s="387"/>
      <c r="P100" s="387"/>
      <c r="Q100" s="387"/>
      <c r="R100" s="387"/>
      <c r="S100" s="387"/>
      <c r="T100" s="387"/>
      <c r="U100" s="387"/>
      <c r="V100" s="387"/>
      <c r="W100" s="387"/>
      <c r="X100" s="387"/>
      <c r="Y100" s="387"/>
      <c r="Z100" s="387"/>
      <c r="AA100" s="387"/>
      <c r="AB100" s="387"/>
      <c r="AC100" s="387"/>
      <c r="AD100" s="387"/>
    </row>
    <row r="101" spans="1:30">
      <c r="A101" s="387"/>
      <c r="B101" s="387"/>
      <c r="C101" s="387"/>
      <c r="D101" s="387"/>
      <c r="E101" s="387"/>
      <c r="F101" s="387"/>
      <c r="G101" s="387"/>
      <c r="H101" s="387"/>
      <c r="I101" s="387"/>
      <c r="J101" s="387"/>
      <c r="K101" s="387"/>
      <c r="L101" s="387"/>
      <c r="M101" s="387"/>
      <c r="N101" s="387"/>
      <c r="O101" s="387"/>
      <c r="P101" s="387"/>
      <c r="Q101" s="387"/>
      <c r="R101" s="387"/>
      <c r="S101" s="387"/>
      <c r="T101" s="387"/>
      <c r="U101" s="387"/>
      <c r="V101" s="387"/>
      <c r="W101" s="387"/>
      <c r="X101" s="387"/>
      <c r="Y101" s="387"/>
      <c r="Z101" s="387"/>
      <c r="AA101" s="387"/>
      <c r="AB101" s="387"/>
      <c r="AC101" s="387"/>
      <c r="AD101" s="387"/>
    </row>
    <row r="102" spans="1:30">
      <c r="A102" s="387"/>
      <c r="B102" s="387"/>
      <c r="C102" s="387"/>
      <c r="D102" s="387"/>
      <c r="E102" s="387"/>
      <c r="F102" s="387"/>
      <c r="G102" s="387"/>
      <c r="H102" s="387"/>
      <c r="I102" s="387"/>
      <c r="J102" s="387"/>
      <c r="K102" s="387"/>
      <c r="L102" s="387"/>
      <c r="M102" s="387"/>
      <c r="N102" s="387"/>
      <c r="O102" s="387"/>
      <c r="P102" s="387"/>
      <c r="Q102" s="387"/>
      <c r="R102" s="387"/>
      <c r="S102" s="387"/>
      <c r="T102" s="387"/>
      <c r="U102" s="387"/>
      <c r="V102" s="387"/>
      <c r="W102" s="387"/>
      <c r="X102" s="387"/>
      <c r="Y102" s="387"/>
      <c r="Z102" s="387"/>
      <c r="AA102" s="387"/>
      <c r="AB102" s="387"/>
      <c r="AC102" s="387"/>
      <c r="AD102" s="387"/>
    </row>
    <row r="103" spans="1:30">
      <c r="A103" s="387"/>
      <c r="B103" s="387"/>
      <c r="C103" s="387"/>
      <c r="D103" s="387"/>
      <c r="E103" s="387"/>
      <c r="F103" s="387"/>
      <c r="G103" s="387"/>
      <c r="H103" s="387"/>
      <c r="I103" s="387"/>
      <c r="J103" s="387"/>
      <c r="K103" s="387"/>
      <c r="L103" s="387"/>
      <c r="M103" s="387"/>
      <c r="N103" s="387"/>
      <c r="O103" s="387"/>
      <c r="P103" s="387"/>
      <c r="Q103" s="387"/>
      <c r="R103" s="387"/>
      <c r="S103" s="387"/>
      <c r="T103" s="387"/>
      <c r="U103" s="387"/>
      <c r="V103" s="387"/>
      <c r="W103" s="387"/>
      <c r="X103" s="387"/>
      <c r="Y103" s="387"/>
      <c r="Z103" s="387"/>
      <c r="AA103" s="387"/>
      <c r="AB103" s="387"/>
      <c r="AC103" s="387"/>
      <c r="AD103" s="387"/>
    </row>
    <row r="104" spans="1:30">
      <c r="A104" s="387"/>
      <c r="B104" s="387"/>
      <c r="C104" s="387"/>
      <c r="D104" s="387"/>
      <c r="E104" s="387"/>
      <c r="F104" s="387"/>
      <c r="G104" s="387"/>
      <c r="H104" s="387"/>
      <c r="I104" s="387"/>
      <c r="J104" s="387"/>
      <c r="K104" s="387"/>
      <c r="L104" s="387"/>
      <c r="M104" s="387"/>
      <c r="N104" s="387"/>
      <c r="O104" s="387"/>
      <c r="P104" s="387"/>
      <c r="Q104" s="387"/>
      <c r="R104" s="387"/>
      <c r="S104" s="387"/>
      <c r="T104" s="387"/>
      <c r="U104" s="387"/>
      <c r="V104" s="387"/>
      <c r="W104" s="387"/>
      <c r="X104" s="387"/>
      <c r="Y104" s="387"/>
      <c r="Z104" s="387"/>
      <c r="AA104" s="387"/>
      <c r="AB104" s="387"/>
      <c r="AC104" s="387"/>
      <c r="AD104" s="387"/>
    </row>
    <row r="105" spans="1:30">
      <c r="A105" s="387"/>
      <c r="B105" s="387"/>
      <c r="C105" s="387"/>
      <c r="D105" s="387"/>
      <c r="E105" s="387"/>
      <c r="F105" s="387"/>
      <c r="G105" s="387"/>
      <c r="H105" s="387"/>
      <c r="I105" s="387"/>
      <c r="J105" s="387"/>
      <c r="K105" s="387"/>
      <c r="L105" s="387"/>
      <c r="M105" s="387"/>
      <c r="N105" s="387"/>
      <c r="O105" s="387"/>
      <c r="P105" s="387"/>
      <c r="Q105" s="387"/>
      <c r="R105" s="387"/>
      <c r="S105" s="387"/>
      <c r="T105" s="387"/>
      <c r="U105" s="387"/>
      <c r="V105" s="387"/>
      <c r="W105" s="387"/>
      <c r="X105" s="387"/>
      <c r="Y105" s="387"/>
      <c r="Z105" s="387"/>
      <c r="AA105" s="387"/>
      <c r="AB105" s="387"/>
      <c r="AC105" s="387"/>
      <c r="AD105" s="387"/>
    </row>
    <row r="106" spans="1:30">
      <c r="A106" s="387"/>
      <c r="B106" s="387"/>
      <c r="C106" s="387"/>
      <c r="D106" s="387"/>
      <c r="E106" s="387"/>
      <c r="F106" s="387"/>
      <c r="G106" s="387"/>
      <c r="H106" s="387"/>
      <c r="I106" s="387"/>
      <c r="J106" s="387"/>
      <c r="K106" s="387"/>
      <c r="L106" s="387"/>
      <c r="M106" s="387"/>
      <c r="N106" s="387"/>
      <c r="O106" s="387"/>
      <c r="P106" s="387"/>
      <c r="Q106" s="387"/>
      <c r="R106" s="387"/>
      <c r="S106" s="387"/>
      <c r="T106" s="387"/>
      <c r="U106" s="387"/>
      <c r="V106" s="387"/>
      <c r="W106" s="387"/>
      <c r="X106" s="387"/>
      <c r="Y106" s="387"/>
      <c r="Z106" s="387"/>
      <c r="AA106" s="387"/>
      <c r="AB106" s="387"/>
      <c r="AC106" s="387"/>
      <c r="AD106" s="387"/>
    </row>
    <row r="107" spans="1:30">
      <c r="A107" s="387"/>
      <c r="B107" s="387"/>
      <c r="C107" s="387"/>
      <c r="D107" s="387"/>
      <c r="E107" s="387"/>
      <c r="F107" s="387"/>
      <c r="G107" s="387"/>
      <c r="H107" s="387"/>
      <c r="I107" s="387"/>
      <c r="J107" s="387"/>
      <c r="K107" s="387"/>
      <c r="L107" s="387"/>
      <c r="M107" s="387"/>
      <c r="N107" s="387"/>
      <c r="O107" s="387"/>
      <c r="P107" s="387"/>
      <c r="Q107" s="387"/>
      <c r="R107" s="387"/>
      <c r="S107" s="387"/>
      <c r="T107" s="387"/>
      <c r="U107" s="387"/>
      <c r="V107" s="387"/>
      <c r="W107" s="387"/>
      <c r="X107" s="387"/>
      <c r="Y107" s="387"/>
      <c r="Z107" s="387"/>
      <c r="AA107" s="387"/>
      <c r="AB107" s="387"/>
      <c r="AC107" s="387"/>
      <c r="AD107" s="387"/>
    </row>
    <row r="108" spans="1:30">
      <c r="A108" s="387"/>
      <c r="B108" s="387"/>
      <c r="C108" s="387"/>
      <c r="D108" s="387"/>
      <c r="E108" s="387"/>
      <c r="F108" s="387"/>
      <c r="G108" s="387"/>
      <c r="H108" s="387"/>
      <c r="I108" s="387"/>
      <c r="J108" s="387"/>
      <c r="K108" s="387"/>
      <c r="L108" s="387"/>
      <c r="M108" s="387"/>
      <c r="N108" s="387"/>
      <c r="O108" s="387"/>
      <c r="P108" s="387"/>
      <c r="Q108" s="387"/>
      <c r="R108" s="387"/>
      <c r="S108" s="387"/>
      <c r="T108" s="387"/>
      <c r="U108" s="387"/>
      <c r="V108" s="387"/>
      <c r="W108" s="387"/>
      <c r="X108" s="387"/>
      <c r="Y108" s="387"/>
      <c r="Z108" s="387"/>
      <c r="AA108" s="387"/>
      <c r="AB108" s="387"/>
      <c r="AC108" s="387"/>
      <c r="AD108" s="387"/>
    </row>
    <row r="109" spans="1:30">
      <c r="A109" s="387"/>
      <c r="B109" s="387"/>
      <c r="C109" s="387"/>
      <c r="D109" s="387"/>
      <c r="E109" s="387"/>
      <c r="F109" s="387"/>
      <c r="G109" s="387"/>
      <c r="H109" s="387"/>
      <c r="I109" s="387"/>
      <c r="J109" s="387"/>
      <c r="K109" s="387"/>
      <c r="L109" s="387"/>
      <c r="M109" s="387"/>
      <c r="N109" s="387"/>
      <c r="O109" s="387"/>
      <c r="P109" s="387"/>
      <c r="Q109" s="387"/>
      <c r="R109" s="387"/>
      <c r="S109" s="387"/>
      <c r="T109" s="387"/>
      <c r="U109" s="387"/>
      <c r="V109" s="387"/>
      <c r="W109" s="387"/>
      <c r="X109" s="387"/>
      <c r="Y109" s="387"/>
      <c r="Z109" s="387"/>
      <c r="AA109" s="387"/>
      <c r="AB109" s="387"/>
      <c r="AC109" s="387"/>
      <c r="AD109" s="387"/>
    </row>
    <row r="110" spans="1:30">
      <c r="A110" s="387"/>
      <c r="B110" s="387"/>
      <c r="C110" s="387"/>
      <c r="D110" s="387"/>
      <c r="E110" s="387"/>
      <c r="F110" s="387"/>
      <c r="G110" s="387"/>
      <c r="H110" s="387"/>
      <c r="I110" s="387"/>
      <c r="J110" s="387"/>
      <c r="K110" s="387"/>
      <c r="L110" s="387"/>
      <c r="M110" s="387"/>
      <c r="N110" s="387"/>
      <c r="O110" s="387"/>
      <c r="P110" s="387"/>
      <c r="Q110" s="387"/>
      <c r="R110" s="387"/>
      <c r="S110" s="387"/>
      <c r="T110" s="387"/>
      <c r="U110" s="387"/>
      <c r="V110" s="387"/>
      <c r="W110" s="387"/>
      <c r="X110" s="387"/>
      <c r="Y110" s="387"/>
      <c r="Z110" s="387"/>
      <c r="AA110" s="387"/>
      <c r="AB110" s="387"/>
      <c r="AC110" s="387"/>
      <c r="AD110" s="387"/>
    </row>
    <row r="111" spans="1:30">
      <c r="A111" s="387"/>
      <c r="B111" s="387"/>
      <c r="C111" s="387"/>
      <c r="D111" s="387"/>
      <c r="E111" s="387"/>
      <c r="F111" s="387"/>
      <c r="G111" s="387"/>
      <c r="H111" s="387"/>
      <c r="I111" s="387"/>
      <c r="J111" s="387"/>
      <c r="K111" s="387"/>
      <c r="L111" s="387"/>
      <c r="M111" s="387"/>
      <c r="N111" s="387"/>
      <c r="O111" s="387"/>
      <c r="P111" s="387"/>
      <c r="Q111" s="387"/>
      <c r="R111" s="387"/>
      <c r="S111" s="387"/>
      <c r="T111" s="387"/>
      <c r="U111" s="387"/>
      <c r="V111" s="387"/>
      <c r="W111" s="387"/>
      <c r="X111" s="387"/>
      <c r="Y111" s="387"/>
      <c r="Z111" s="387"/>
      <c r="AA111" s="387"/>
      <c r="AB111" s="387"/>
      <c r="AC111" s="387"/>
      <c r="AD111" s="387"/>
    </row>
    <row r="112" spans="1:30">
      <c r="A112" s="387"/>
      <c r="B112" s="387"/>
      <c r="C112" s="387"/>
      <c r="D112" s="387"/>
      <c r="E112" s="387"/>
      <c r="F112" s="387"/>
      <c r="G112" s="387"/>
      <c r="H112" s="387"/>
      <c r="I112" s="387"/>
      <c r="J112" s="387"/>
      <c r="K112" s="387"/>
      <c r="L112" s="387"/>
      <c r="M112" s="387"/>
      <c r="N112" s="387"/>
      <c r="O112" s="387"/>
      <c r="P112" s="387"/>
      <c r="Q112" s="387"/>
      <c r="R112" s="387"/>
      <c r="S112" s="387"/>
      <c r="T112" s="387"/>
      <c r="U112" s="387"/>
      <c r="V112" s="387"/>
      <c r="W112" s="387"/>
      <c r="X112" s="387"/>
      <c r="Y112" s="387"/>
      <c r="Z112" s="387"/>
      <c r="AA112" s="387"/>
      <c r="AB112" s="387"/>
      <c r="AC112" s="387"/>
      <c r="AD112" s="387"/>
    </row>
    <row r="113" spans="1:30">
      <c r="A113" s="387"/>
      <c r="B113" s="387"/>
      <c r="C113" s="387"/>
      <c r="D113" s="387"/>
      <c r="E113" s="387"/>
      <c r="F113" s="387"/>
      <c r="G113" s="387"/>
      <c r="H113" s="387"/>
      <c r="I113" s="387"/>
      <c r="J113" s="387"/>
      <c r="K113" s="387"/>
      <c r="L113" s="387"/>
      <c r="M113" s="387"/>
      <c r="N113" s="387"/>
      <c r="O113" s="387"/>
      <c r="P113" s="387"/>
      <c r="Q113" s="387"/>
      <c r="R113" s="387"/>
      <c r="S113" s="387"/>
      <c r="T113" s="387"/>
      <c r="U113" s="387"/>
      <c r="V113" s="387"/>
      <c r="W113" s="387"/>
      <c r="X113" s="387"/>
      <c r="Y113" s="387"/>
      <c r="Z113" s="387"/>
      <c r="AA113" s="387"/>
      <c r="AB113" s="387"/>
      <c r="AC113" s="387"/>
      <c r="AD113" s="387"/>
    </row>
    <row r="114" spans="1:30">
      <c r="A114" s="387"/>
      <c r="B114" s="387"/>
      <c r="C114" s="387"/>
      <c r="D114" s="387"/>
      <c r="E114" s="387"/>
      <c r="F114" s="387"/>
      <c r="G114" s="387"/>
      <c r="H114" s="387"/>
      <c r="I114" s="387"/>
      <c r="J114" s="387"/>
      <c r="K114" s="387"/>
      <c r="L114" s="387"/>
      <c r="M114" s="387"/>
      <c r="N114" s="387"/>
      <c r="O114" s="387"/>
      <c r="P114" s="387"/>
      <c r="Q114" s="387"/>
      <c r="R114" s="387"/>
      <c r="S114" s="387"/>
      <c r="T114" s="387"/>
      <c r="U114" s="387"/>
      <c r="V114" s="387"/>
      <c r="W114" s="387"/>
      <c r="X114" s="387"/>
      <c r="Y114" s="387"/>
      <c r="Z114" s="387"/>
      <c r="AA114" s="387"/>
      <c r="AB114" s="387"/>
      <c r="AC114" s="387"/>
      <c r="AD114" s="387"/>
    </row>
    <row r="115" spans="1:30">
      <c r="A115" s="387"/>
      <c r="B115" s="387"/>
      <c r="C115" s="387"/>
      <c r="D115" s="387"/>
      <c r="E115" s="387"/>
      <c r="F115" s="387"/>
      <c r="G115" s="387"/>
      <c r="H115" s="387"/>
      <c r="I115" s="387"/>
      <c r="J115" s="387"/>
      <c r="K115" s="387"/>
      <c r="L115" s="387"/>
      <c r="M115" s="387"/>
      <c r="N115" s="387"/>
      <c r="O115" s="387"/>
      <c r="P115" s="387"/>
      <c r="Q115" s="387"/>
      <c r="R115" s="387"/>
      <c r="S115" s="387"/>
      <c r="T115" s="387"/>
      <c r="U115" s="387"/>
      <c r="V115" s="387"/>
      <c r="W115" s="387"/>
      <c r="X115" s="387"/>
      <c r="Y115" s="387"/>
      <c r="Z115" s="387"/>
      <c r="AA115" s="387"/>
      <c r="AB115" s="387"/>
      <c r="AC115" s="387"/>
      <c r="AD115" s="387"/>
    </row>
    <row r="116" spans="1:30">
      <c r="A116" s="387"/>
      <c r="B116" s="387"/>
      <c r="C116" s="387"/>
      <c r="D116" s="387"/>
      <c r="E116" s="387"/>
      <c r="F116" s="387"/>
      <c r="G116" s="387"/>
      <c r="H116" s="387"/>
      <c r="I116" s="387"/>
      <c r="J116" s="387"/>
      <c r="K116" s="387"/>
      <c r="L116" s="387"/>
      <c r="M116" s="387"/>
      <c r="N116" s="387"/>
      <c r="O116" s="387"/>
      <c r="P116" s="387"/>
      <c r="Q116" s="387"/>
      <c r="R116" s="387"/>
      <c r="S116" s="387"/>
      <c r="T116" s="387"/>
      <c r="U116" s="387"/>
      <c r="V116" s="387"/>
      <c r="W116" s="387"/>
      <c r="X116" s="387"/>
      <c r="Y116" s="387"/>
      <c r="Z116" s="387"/>
      <c r="AA116" s="387"/>
      <c r="AB116" s="387"/>
      <c r="AC116" s="387"/>
      <c r="AD116" s="387"/>
    </row>
    <row r="117" spans="1:30">
      <c r="A117" s="387"/>
      <c r="B117" s="387"/>
      <c r="C117" s="387"/>
      <c r="D117" s="387"/>
      <c r="E117" s="387"/>
      <c r="F117" s="387"/>
      <c r="G117" s="387"/>
      <c r="H117" s="387"/>
      <c r="I117" s="387"/>
      <c r="J117" s="387"/>
      <c r="K117" s="387"/>
      <c r="L117" s="387"/>
      <c r="M117" s="387"/>
      <c r="N117" s="387"/>
      <c r="O117" s="387"/>
      <c r="P117" s="387"/>
      <c r="Q117" s="387"/>
      <c r="R117" s="387"/>
      <c r="S117" s="387"/>
      <c r="T117" s="387"/>
      <c r="U117" s="387"/>
      <c r="V117" s="387"/>
      <c r="W117" s="387"/>
      <c r="X117" s="387"/>
      <c r="Y117" s="387"/>
      <c r="Z117" s="387"/>
      <c r="AA117" s="387"/>
      <c r="AB117" s="387"/>
      <c r="AC117" s="387"/>
      <c r="AD117" s="387"/>
    </row>
    <row r="118" spans="1:30">
      <c r="A118" s="387"/>
      <c r="B118" s="387"/>
      <c r="C118" s="387"/>
      <c r="D118" s="387"/>
      <c r="E118" s="387"/>
      <c r="F118" s="387"/>
      <c r="G118" s="387"/>
      <c r="H118" s="387"/>
      <c r="I118" s="387"/>
      <c r="J118" s="387"/>
      <c r="K118" s="387"/>
      <c r="L118" s="387"/>
      <c r="M118" s="387"/>
      <c r="N118" s="387"/>
      <c r="O118" s="387"/>
      <c r="P118" s="387"/>
      <c r="Q118" s="387"/>
      <c r="R118" s="387"/>
      <c r="S118" s="387"/>
      <c r="T118" s="387"/>
      <c r="U118" s="387"/>
      <c r="V118" s="387"/>
      <c r="W118" s="387"/>
      <c r="X118" s="387"/>
      <c r="Y118" s="387"/>
      <c r="Z118" s="387"/>
      <c r="AA118" s="387"/>
      <c r="AB118" s="387"/>
      <c r="AC118" s="387"/>
      <c r="AD118" s="387"/>
    </row>
    <row r="119" spans="1:30">
      <c r="A119" s="387"/>
      <c r="B119" s="387"/>
      <c r="C119" s="387"/>
      <c r="D119" s="387"/>
      <c r="E119" s="387"/>
      <c r="F119" s="387"/>
      <c r="G119" s="387"/>
      <c r="H119" s="387"/>
      <c r="I119" s="387"/>
      <c r="J119" s="387"/>
      <c r="K119" s="387"/>
      <c r="L119" s="387"/>
      <c r="M119" s="387"/>
      <c r="N119" s="387"/>
      <c r="O119" s="387"/>
      <c r="P119" s="387"/>
      <c r="Q119" s="387"/>
      <c r="R119" s="387"/>
      <c r="S119" s="387"/>
      <c r="T119" s="387"/>
      <c r="U119" s="387"/>
      <c r="V119" s="387"/>
      <c r="W119" s="387"/>
      <c r="X119" s="387"/>
      <c r="Y119" s="387"/>
      <c r="Z119" s="387"/>
      <c r="AA119" s="387"/>
      <c r="AB119" s="387"/>
      <c r="AC119" s="387"/>
      <c r="AD119" s="387"/>
    </row>
    <row r="120" spans="1:30">
      <c r="A120" s="387"/>
      <c r="B120" s="387"/>
      <c r="C120" s="387"/>
      <c r="D120" s="387"/>
      <c r="E120" s="387"/>
      <c r="F120" s="387"/>
      <c r="G120" s="387"/>
      <c r="H120" s="387"/>
      <c r="I120" s="387"/>
      <c r="J120" s="387"/>
      <c r="K120" s="387"/>
      <c r="L120" s="387"/>
      <c r="M120" s="387"/>
      <c r="N120" s="387"/>
      <c r="O120" s="387"/>
      <c r="P120" s="387"/>
      <c r="Q120" s="387"/>
      <c r="R120" s="387"/>
      <c r="S120" s="387"/>
      <c r="T120" s="387"/>
      <c r="U120" s="387"/>
      <c r="V120" s="387"/>
      <c r="W120" s="387"/>
      <c r="X120" s="387"/>
      <c r="Y120" s="387"/>
      <c r="Z120" s="387"/>
      <c r="AA120" s="387"/>
      <c r="AB120" s="387"/>
      <c r="AC120" s="387"/>
      <c r="AD120" s="387"/>
    </row>
    <row r="121" spans="1:30">
      <c r="A121" s="387"/>
      <c r="B121" s="387"/>
      <c r="C121" s="387"/>
      <c r="D121" s="387"/>
      <c r="E121" s="387"/>
      <c r="F121" s="387"/>
      <c r="G121" s="387"/>
      <c r="H121" s="387"/>
      <c r="I121" s="387"/>
      <c r="J121" s="387"/>
      <c r="K121" s="387"/>
      <c r="L121" s="387"/>
      <c r="M121" s="387"/>
      <c r="N121" s="387"/>
      <c r="O121" s="387"/>
      <c r="P121" s="387"/>
      <c r="Q121" s="387"/>
      <c r="R121" s="387"/>
      <c r="S121" s="387"/>
      <c r="T121" s="387"/>
      <c r="U121" s="387"/>
      <c r="V121" s="387"/>
      <c r="W121" s="387"/>
      <c r="X121" s="387"/>
      <c r="Y121" s="387"/>
      <c r="Z121" s="387"/>
      <c r="AA121" s="387"/>
      <c r="AB121" s="387"/>
      <c r="AC121" s="387"/>
      <c r="AD121" s="387"/>
    </row>
    <row r="122" spans="1:30">
      <c r="A122" s="387"/>
      <c r="B122" s="387"/>
      <c r="C122" s="387"/>
      <c r="D122" s="387"/>
      <c r="E122" s="387"/>
      <c r="F122" s="387"/>
      <c r="G122" s="387"/>
      <c r="H122" s="387"/>
      <c r="I122" s="387"/>
      <c r="J122" s="387"/>
      <c r="K122" s="387"/>
      <c r="L122" s="387"/>
      <c r="M122" s="387"/>
      <c r="N122" s="387"/>
      <c r="O122" s="387"/>
      <c r="P122" s="387"/>
      <c r="Q122" s="387"/>
      <c r="R122" s="387"/>
      <c r="S122" s="387"/>
      <c r="T122" s="387"/>
      <c r="U122" s="387"/>
      <c r="V122" s="387"/>
      <c r="W122" s="387"/>
      <c r="X122" s="387"/>
      <c r="Y122" s="387"/>
      <c r="Z122" s="387"/>
      <c r="AA122" s="387"/>
      <c r="AB122" s="387"/>
      <c r="AC122" s="387"/>
      <c r="AD122" s="387"/>
    </row>
    <row r="123" spans="1:30">
      <c r="A123" s="387"/>
      <c r="B123" s="387"/>
      <c r="C123" s="387"/>
      <c r="D123" s="387"/>
      <c r="E123" s="387"/>
      <c r="F123" s="387"/>
      <c r="G123" s="387"/>
      <c r="H123" s="387"/>
      <c r="I123" s="387"/>
      <c r="J123" s="387"/>
      <c r="K123" s="387"/>
      <c r="L123" s="387"/>
      <c r="M123" s="387"/>
      <c r="N123" s="387"/>
      <c r="O123" s="387"/>
      <c r="P123" s="387"/>
      <c r="Q123" s="387"/>
      <c r="R123" s="387"/>
      <c r="S123" s="387"/>
      <c r="T123" s="387"/>
      <c r="U123" s="387"/>
      <c r="V123" s="387"/>
      <c r="W123" s="387"/>
      <c r="X123" s="387"/>
      <c r="Y123" s="387"/>
      <c r="Z123" s="387"/>
      <c r="AA123" s="387"/>
      <c r="AB123" s="387"/>
      <c r="AC123" s="387"/>
      <c r="AD123" s="387"/>
    </row>
    <row r="124" spans="1:30">
      <c r="A124" s="387"/>
      <c r="B124" s="387"/>
      <c r="C124" s="387"/>
      <c r="D124" s="387"/>
      <c r="E124" s="387"/>
      <c r="F124" s="387"/>
      <c r="G124" s="387"/>
      <c r="H124" s="387"/>
      <c r="I124" s="387"/>
      <c r="J124" s="387"/>
      <c r="K124" s="387"/>
      <c r="L124" s="387"/>
      <c r="M124" s="387"/>
      <c r="N124" s="387"/>
      <c r="O124" s="387"/>
      <c r="P124" s="387"/>
      <c r="Q124" s="387"/>
      <c r="R124" s="387"/>
      <c r="S124" s="387"/>
      <c r="T124" s="387"/>
      <c r="U124" s="387"/>
      <c r="V124" s="387"/>
      <c r="W124" s="387"/>
      <c r="X124" s="387"/>
      <c r="Y124" s="387"/>
      <c r="Z124" s="387"/>
      <c r="AA124" s="387"/>
      <c r="AB124" s="387"/>
      <c r="AC124" s="387"/>
      <c r="AD124" s="387"/>
    </row>
    <row r="125" spans="1:30">
      <c r="A125" s="387"/>
      <c r="B125" s="387"/>
      <c r="C125" s="387"/>
      <c r="D125" s="387"/>
      <c r="E125" s="387"/>
      <c r="F125" s="387"/>
      <c r="G125" s="387"/>
      <c r="H125" s="387"/>
      <c r="I125" s="387"/>
      <c r="J125" s="387"/>
      <c r="K125" s="387"/>
      <c r="L125" s="387"/>
      <c r="M125" s="387"/>
      <c r="N125" s="387"/>
      <c r="O125" s="387"/>
      <c r="P125" s="387"/>
      <c r="Q125" s="387"/>
      <c r="R125" s="387"/>
      <c r="S125" s="387"/>
      <c r="T125" s="387"/>
      <c r="U125" s="387"/>
      <c r="V125" s="387"/>
      <c r="W125" s="387"/>
      <c r="X125" s="387"/>
      <c r="Y125" s="387"/>
      <c r="Z125" s="387"/>
      <c r="AA125" s="387"/>
      <c r="AB125" s="387"/>
      <c r="AC125" s="387"/>
      <c r="AD125" s="387"/>
    </row>
    <row r="126" spans="1:30">
      <c r="A126" s="387"/>
      <c r="B126" s="387"/>
      <c r="C126" s="387"/>
      <c r="D126" s="387"/>
      <c r="E126" s="387"/>
      <c r="F126" s="387"/>
      <c r="G126" s="387"/>
      <c r="H126" s="387"/>
      <c r="I126" s="387"/>
      <c r="J126" s="387"/>
      <c r="K126" s="387"/>
      <c r="L126" s="387"/>
      <c r="M126" s="387"/>
      <c r="N126" s="387"/>
      <c r="O126" s="387"/>
      <c r="P126" s="387"/>
      <c r="Q126" s="387"/>
      <c r="R126" s="387"/>
      <c r="S126" s="387"/>
      <c r="T126" s="387"/>
      <c r="U126" s="387"/>
      <c r="V126" s="387"/>
      <c r="W126" s="387"/>
      <c r="X126" s="387"/>
      <c r="Y126" s="387"/>
      <c r="Z126" s="387"/>
      <c r="AA126" s="387"/>
      <c r="AB126" s="387"/>
      <c r="AC126" s="387"/>
      <c r="AD126" s="387"/>
    </row>
    <row r="127" spans="1:30">
      <c r="A127" s="387"/>
      <c r="B127" s="387"/>
      <c r="C127" s="387"/>
      <c r="D127" s="387"/>
      <c r="E127" s="387"/>
      <c r="F127" s="387"/>
      <c r="G127" s="387"/>
      <c r="H127" s="387"/>
      <c r="I127" s="387"/>
      <c r="J127" s="387"/>
      <c r="K127" s="387"/>
      <c r="L127" s="387"/>
      <c r="M127" s="387"/>
      <c r="N127" s="387"/>
      <c r="O127" s="387"/>
      <c r="P127" s="387"/>
      <c r="Q127" s="387"/>
      <c r="R127" s="387"/>
      <c r="S127" s="387"/>
      <c r="T127" s="387"/>
      <c r="U127" s="387"/>
      <c r="V127" s="387"/>
      <c r="W127" s="387"/>
      <c r="X127" s="387"/>
      <c r="Y127" s="387"/>
      <c r="Z127" s="387"/>
      <c r="AA127" s="387"/>
      <c r="AB127" s="387"/>
      <c r="AC127" s="387"/>
      <c r="AD127" s="387"/>
    </row>
    <row r="128" spans="1:30">
      <c r="A128" s="387"/>
      <c r="B128" s="387"/>
      <c r="C128" s="387"/>
      <c r="D128" s="387"/>
      <c r="E128" s="387"/>
      <c r="F128" s="387"/>
      <c r="G128" s="387"/>
      <c r="H128" s="387"/>
      <c r="I128" s="387"/>
      <c r="J128" s="387"/>
      <c r="K128" s="387"/>
      <c r="L128" s="387"/>
      <c r="M128" s="387"/>
      <c r="N128" s="387"/>
      <c r="O128" s="387"/>
      <c r="P128" s="387"/>
      <c r="Q128" s="387"/>
      <c r="R128" s="387"/>
      <c r="S128" s="387"/>
      <c r="T128" s="387"/>
      <c r="U128" s="387"/>
      <c r="V128" s="387"/>
      <c r="W128" s="387"/>
      <c r="X128" s="387"/>
      <c r="Y128" s="387"/>
      <c r="Z128" s="387"/>
      <c r="AA128" s="387"/>
      <c r="AB128" s="387"/>
      <c r="AC128" s="387"/>
      <c r="AD128" s="387"/>
    </row>
    <row r="129" spans="1:30">
      <c r="A129" s="387"/>
      <c r="B129" s="387"/>
      <c r="C129" s="387"/>
      <c r="D129" s="387"/>
      <c r="E129" s="387"/>
      <c r="F129" s="387"/>
      <c r="G129" s="387"/>
      <c r="H129" s="387"/>
      <c r="I129" s="387"/>
      <c r="J129" s="387"/>
      <c r="K129" s="387"/>
      <c r="L129" s="387"/>
      <c r="M129" s="387"/>
      <c r="N129" s="387"/>
      <c r="O129" s="387"/>
      <c r="P129" s="387"/>
      <c r="Q129" s="387"/>
      <c r="R129" s="387"/>
      <c r="S129" s="387"/>
      <c r="T129" s="387"/>
      <c r="U129" s="387"/>
      <c r="V129" s="387"/>
      <c r="W129" s="387"/>
      <c r="X129" s="387"/>
      <c r="Y129" s="387"/>
      <c r="Z129" s="387"/>
      <c r="AA129" s="387"/>
      <c r="AB129" s="387"/>
      <c r="AC129" s="387"/>
      <c r="AD129" s="387"/>
    </row>
    <row r="130" spans="1:30">
      <c r="A130" s="387"/>
      <c r="B130" s="387"/>
      <c r="C130" s="387"/>
      <c r="D130" s="387"/>
      <c r="E130" s="387"/>
      <c r="F130" s="387"/>
      <c r="G130" s="387"/>
      <c r="H130" s="387"/>
      <c r="I130" s="387"/>
      <c r="J130" s="387"/>
      <c r="K130" s="387"/>
      <c r="L130" s="387"/>
      <c r="M130" s="387"/>
      <c r="N130" s="387"/>
      <c r="O130" s="387"/>
      <c r="P130" s="387"/>
      <c r="Q130" s="387"/>
      <c r="R130" s="387"/>
      <c r="S130" s="387"/>
      <c r="T130" s="387"/>
      <c r="U130" s="387"/>
      <c r="V130" s="387"/>
      <c r="W130" s="387"/>
      <c r="X130" s="387"/>
      <c r="Y130" s="387"/>
      <c r="Z130" s="387"/>
      <c r="AA130" s="387"/>
      <c r="AB130" s="387"/>
      <c r="AC130" s="387"/>
      <c r="AD130" s="387"/>
    </row>
    <row r="131" spans="1:30">
      <c r="A131" s="387"/>
      <c r="B131" s="387"/>
      <c r="C131" s="387"/>
      <c r="D131" s="387"/>
      <c r="E131" s="387"/>
      <c r="F131" s="387"/>
      <c r="G131" s="387"/>
      <c r="H131" s="387"/>
      <c r="I131" s="387"/>
      <c r="J131" s="387"/>
      <c r="K131" s="387"/>
      <c r="L131" s="387"/>
      <c r="M131" s="387"/>
      <c r="N131" s="387"/>
      <c r="O131" s="387"/>
      <c r="P131" s="387"/>
      <c r="Q131" s="387"/>
      <c r="R131" s="387"/>
      <c r="S131" s="387"/>
      <c r="T131" s="387"/>
      <c r="U131" s="387"/>
      <c r="V131" s="387"/>
      <c r="W131" s="387"/>
      <c r="X131" s="387"/>
      <c r="Y131" s="387"/>
      <c r="Z131" s="387"/>
      <c r="AA131" s="387"/>
      <c r="AB131" s="387"/>
      <c r="AC131" s="387"/>
      <c r="AD131" s="387"/>
    </row>
    <row r="132" spans="1:30">
      <c r="A132" s="387"/>
      <c r="B132" s="387"/>
      <c r="C132" s="387"/>
      <c r="D132" s="387"/>
      <c r="E132" s="387"/>
      <c r="F132" s="387"/>
      <c r="G132" s="387"/>
      <c r="H132" s="387"/>
      <c r="I132" s="387"/>
      <c r="J132" s="387"/>
      <c r="K132" s="387"/>
      <c r="L132" s="387"/>
      <c r="M132" s="387"/>
      <c r="N132" s="387"/>
      <c r="O132" s="387"/>
      <c r="P132" s="387"/>
      <c r="Q132" s="387"/>
      <c r="R132" s="387"/>
      <c r="S132" s="387"/>
      <c r="T132" s="387"/>
      <c r="U132" s="387"/>
      <c r="V132" s="387"/>
      <c r="W132" s="387"/>
      <c r="X132" s="387"/>
      <c r="Y132" s="387"/>
      <c r="Z132" s="387"/>
      <c r="AA132" s="387"/>
      <c r="AB132" s="387"/>
      <c r="AC132" s="387"/>
      <c r="AD132" s="387"/>
    </row>
    <row r="133" spans="1:30">
      <c r="A133" s="387"/>
      <c r="B133" s="387"/>
      <c r="C133" s="387"/>
      <c r="D133" s="387"/>
      <c r="E133" s="387"/>
      <c r="F133" s="387"/>
      <c r="G133" s="387"/>
      <c r="H133" s="387"/>
      <c r="I133" s="387"/>
      <c r="J133" s="387"/>
      <c r="K133" s="387"/>
      <c r="L133" s="387"/>
      <c r="M133" s="387"/>
      <c r="N133" s="387"/>
      <c r="O133" s="387"/>
      <c r="P133" s="387"/>
      <c r="Q133" s="387"/>
      <c r="R133" s="387"/>
      <c r="S133" s="387"/>
      <c r="T133" s="387"/>
      <c r="U133" s="387"/>
      <c r="V133" s="387"/>
      <c r="W133" s="387"/>
      <c r="X133" s="387"/>
      <c r="Y133" s="387"/>
      <c r="Z133" s="387"/>
      <c r="AA133" s="387"/>
      <c r="AB133" s="387"/>
      <c r="AC133" s="387"/>
      <c r="AD133" s="387"/>
    </row>
    <row r="134" spans="1:30">
      <c r="A134" s="387"/>
      <c r="B134" s="387"/>
      <c r="C134" s="387"/>
      <c r="D134" s="387"/>
      <c r="E134" s="387"/>
      <c r="F134" s="387"/>
      <c r="G134" s="387"/>
      <c r="H134" s="387"/>
      <c r="I134" s="387"/>
      <c r="J134" s="387"/>
      <c r="K134" s="387"/>
      <c r="L134" s="387"/>
      <c r="M134" s="387"/>
      <c r="N134" s="387"/>
      <c r="O134" s="387"/>
      <c r="P134" s="387"/>
      <c r="Q134" s="387"/>
      <c r="R134" s="387"/>
      <c r="S134" s="387"/>
      <c r="T134" s="387"/>
      <c r="U134" s="387"/>
      <c r="V134" s="387"/>
      <c r="W134" s="387"/>
      <c r="X134" s="387"/>
      <c r="Y134" s="387"/>
      <c r="Z134" s="387"/>
      <c r="AA134" s="387"/>
      <c r="AB134" s="387"/>
      <c r="AC134" s="387"/>
      <c r="AD134" s="387"/>
    </row>
    <row r="135" spans="1:30">
      <c r="A135" s="387"/>
      <c r="B135" s="387"/>
      <c r="C135" s="387"/>
      <c r="D135" s="387"/>
      <c r="E135" s="387"/>
      <c r="F135" s="387"/>
      <c r="G135" s="387"/>
      <c r="H135" s="387"/>
      <c r="I135" s="387"/>
      <c r="J135" s="387"/>
      <c r="K135" s="387"/>
      <c r="L135" s="387"/>
      <c r="M135" s="387"/>
      <c r="N135" s="387"/>
      <c r="O135" s="387"/>
      <c r="P135" s="387"/>
      <c r="Q135" s="387"/>
      <c r="R135" s="387"/>
      <c r="S135" s="387"/>
      <c r="T135" s="387"/>
      <c r="U135" s="387"/>
      <c r="V135" s="387"/>
      <c r="W135" s="387"/>
      <c r="X135" s="387"/>
      <c r="Y135" s="387"/>
      <c r="Z135" s="387"/>
      <c r="AA135" s="387"/>
      <c r="AB135" s="387"/>
      <c r="AC135" s="387"/>
      <c r="AD135" s="387"/>
    </row>
    <row r="136" spans="1:30">
      <c r="A136" s="387"/>
      <c r="B136" s="387"/>
      <c r="C136" s="387"/>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7"/>
      <c r="AD136" s="387"/>
    </row>
    <row r="137" spans="1:30">
      <c r="A137" s="387"/>
      <c r="B137" s="387"/>
      <c r="C137" s="387"/>
      <c r="D137" s="387"/>
      <c r="E137" s="387"/>
      <c r="F137" s="387"/>
      <c r="G137" s="387"/>
      <c r="H137" s="387"/>
      <c r="I137" s="387"/>
      <c r="J137" s="387"/>
      <c r="K137" s="387"/>
      <c r="L137" s="387"/>
      <c r="M137" s="387"/>
      <c r="N137" s="387"/>
      <c r="O137" s="387"/>
      <c r="P137" s="387"/>
      <c r="Q137" s="387"/>
      <c r="R137" s="387"/>
      <c r="S137" s="387"/>
      <c r="T137" s="387"/>
      <c r="U137" s="387"/>
      <c r="V137" s="387"/>
      <c r="W137" s="387"/>
      <c r="X137" s="387"/>
      <c r="Y137" s="387"/>
      <c r="Z137" s="387"/>
      <c r="AA137" s="387"/>
      <c r="AB137" s="387"/>
      <c r="AC137" s="387"/>
      <c r="AD137" s="387"/>
    </row>
    <row r="138" spans="1:30">
      <c r="A138" s="387"/>
      <c r="B138" s="387"/>
      <c r="C138" s="387"/>
      <c r="D138" s="387"/>
      <c r="E138" s="387"/>
      <c r="F138" s="387"/>
      <c r="G138" s="387"/>
      <c r="H138" s="387"/>
      <c r="I138" s="387"/>
      <c r="J138" s="387"/>
      <c r="K138" s="387"/>
      <c r="L138" s="387"/>
      <c r="M138" s="387"/>
      <c r="N138" s="387"/>
      <c r="O138" s="387"/>
      <c r="P138" s="387"/>
      <c r="Q138" s="387"/>
      <c r="R138" s="387"/>
      <c r="S138" s="387"/>
      <c r="T138" s="387"/>
      <c r="U138" s="387"/>
      <c r="V138" s="387"/>
      <c r="W138" s="387"/>
      <c r="X138" s="387"/>
      <c r="Y138" s="387"/>
      <c r="Z138" s="387"/>
      <c r="AA138" s="387"/>
      <c r="AB138" s="387"/>
      <c r="AC138" s="387"/>
      <c r="AD138" s="387"/>
    </row>
    <row r="139" spans="1:30">
      <c r="A139" s="387"/>
      <c r="B139" s="387"/>
      <c r="C139" s="387"/>
      <c r="D139" s="387"/>
      <c r="E139" s="387"/>
      <c r="F139" s="387"/>
      <c r="G139" s="387"/>
      <c r="H139" s="387"/>
      <c r="I139" s="387"/>
      <c r="J139" s="387"/>
      <c r="K139" s="387"/>
      <c r="L139" s="387"/>
      <c r="M139" s="387"/>
      <c r="N139" s="387"/>
      <c r="O139" s="387"/>
      <c r="P139" s="387"/>
      <c r="Q139" s="387"/>
      <c r="R139" s="387"/>
      <c r="S139" s="387"/>
      <c r="T139" s="387"/>
      <c r="U139" s="387"/>
      <c r="V139" s="387"/>
      <c r="W139" s="387"/>
      <c r="X139" s="387"/>
      <c r="Y139" s="387"/>
      <c r="Z139" s="387"/>
      <c r="AA139" s="387"/>
      <c r="AB139" s="387"/>
      <c r="AC139" s="387"/>
      <c r="AD139" s="387"/>
    </row>
    <row r="140" spans="1:30">
      <c r="A140" s="387"/>
      <c r="B140" s="387"/>
      <c r="C140" s="387"/>
      <c r="D140" s="387"/>
      <c r="E140" s="387"/>
      <c r="F140" s="387"/>
      <c r="G140" s="387"/>
      <c r="H140" s="387"/>
      <c r="I140" s="387"/>
      <c r="J140" s="387"/>
      <c r="K140" s="387"/>
      <c r="L140" s="387"/>
      <c r="M140" s="387"/>
      <c r="N140" s="387"/>
      <c r="O140" s="387"/>
      <c r="P140" s="387"/>
      <c r="Q140" s="387"/>
      <c r="R140" s="387"/>
      <c r="S140" s="387"/>
      <c r="T140" s="387"/>
      <c r="U140" s="387"/>
      <c r="V140" s="387"/>
      <c r="W140" s="387"/>
      <c r="X140" s="387"/>
      <c r="Y140" s="387"/>
      <c r="Z140" s="387"/>
      <c r="AA140" s="387"/>
      <c r="AB140" s="387"/>
      <c r="AC140" s="387"/>
      <c r="AD140" s="387"/>
    </row>
    <row r="141" spans="1:30">
      <c r="A141" s="387"/>
      <c r="B141" s="387"/>
      <c r="C141" s="387"/>
      <c r="D141" s="387"/>
      <c r="E141" s="387"/>
      <c r="F141" s="387"/>
      <c r="G141" s="387"/>
      <c r="H141" s="387"/>
      <c r="I141" s="387"/>
      <c r="J141" s="387"/>
      <c r="K141" s="387"/>
      <c r="L141" s="387"/>
      <c r="M141" s="387"/>
      <c r="N141" s="387"/>
      <c r="O141" s="387"/>
      <c r="P141" s="387"/>
      <c r="Q141" s="387"/>
      <c r="R141" s="387"/>
      <c r="S141" s="387"/>
      <c r="T141" s="387"/>
      <c r="U141" s="387"/>
      <c r="V141" s="387"/>
      <c r="W141" s="387"/>
      <c r="X141" s="387"/>
      <c r="Y141" s="387"/>
      <c r="Z141" s="387"/>
      <c r="AA141" s="387"/>
      <c r="AB141" s="387"/>
      <c r="AC141" s="387"/>
      <c r="AD141" s="387"/>
    </row>
    <row r="142" spans="1:30">
      <c r="A142" s="387"/>
      <c r="B142" s="387"/>
      <c r="C142" s="387"/>
      <c r="D142" s="387"/>
      <c r="E142" s="387"/>
      <c r="F142" s="387"/>
      <c r="G142" s="387"/>
      <c r="H142" s="387"/>
      <c r="I142" s="387"/>
      <c r="J142" s="387"/>
      <c r="K142" s="387"/>
      <c r="L142" s="387"/>
      <c r="M142" s="387"/>
      <c r="N142" s="387"/>
      <c r="O142" s="387"/>
      <c r="P142" s="387"/>
      <c r="Q142" s="387"/>
      <c r="R142" s="387"/>
      <c r="S142" s="387"/>
      <c r="T142" s="387"/>
      <c r="U142" s="387"/>
      <c r="V142" s="387"/>
      <c r="W142" s="387"/>
      <c r="X142" s="387"/>
      <c r="Y142" s="387"/>
      <c r="Z142" s="387"/>
      <c r="AA142" s="387"/>
      <c r="AB142" s="387"/>
      <c r="AC142" s="387"/>
      <c r="AD142" s="387"/>
    </row>
    <row r="143" spans="1:30">
      <c r="A143" s="387"/>
      <c r="B143" s="387"/>
      <c r="C143" s="387"/>
      <c r="D143" s="387"/>
      <c r="E143" s="387"/>
      <c r="F143" s="387"/>
      <c r="G143" s="387"/>
      <c r="H143" s="387"/>
      <c r="I143" s="387"/>
      <c r="J143" s="387"/>
      <c r="K143" s="387"/>
      <c r="L143" s="387"/>
      <c r="M143" s="387"/>
      <c r="N143" s="387"/>
      <c r="O143" s="387"/>
      <c r="P143" s="387"/>
      <c r="Q143" s="387"/>
      <c r="R143" s="387"/>
      <c r="S143" s="387"/>
      <c r="T143" s="387"/>
      <c r="U143" s="387"/>
      <c r="V143" s="387"/>
      <c r="W143" s="387"/>
      <c r="X143" s="387"/>
      <c r="Y143" s="387"/>
      <c r="Z143" s="387"/>
      <c r="AA143" s="387"/>
      <c r="AB143" s="387"/>
      <c r="AC143" s="387"/>
      <c r="AD143" s="387"/>
    </row>
    <row r="144" spans="1:30">
      <c r="A144" s="387"/>
      <c r="B144" s="387"/>
      <c r="C144" s="387"/>
      <c r="D144" s="387"/>
      <c r="E144" s="387"/>
      <c r="F144" s="387"/>
      <c r="G144" s="387"/>
      <c r="H144" s="387"/>
      <c r="I144" s="387"/>
      <c r="J144" s="387"/>
      <c r="K144" s="387"/>
      <c r="L144" s="387"/>
      <c r="M144" s="387"/>
      <c r="N144" s="387"/>
      <c r="O144" s="387"/>
      <c r="P144" s="387"/>
      <c r="Q144" s="387"/>
      <c r="R144" s="387"/>
      <c r="S144" s="387"/>
      <c r="T144" s="387"/>
      <c r="U144" s="387"/>
      <c r="V144" s="387"/>
      <c r="W144" s="387"/>
      <c r="X144" s="387"/>
      <c r="Y144" s="387"/>
      <c r="Z144" s="387"/>
      <c r="AA144" s="387"/>
      <c r="AB144" s="387"/>
      <c r="AC144" s="387"/>
      <c r="AD144" s="387"/>
    </row>
    <row r="145" spans="1:30">
      <c r="A145" s="387"/>
      <c r="B145" s="387"/>
      <c r="C145" s="387"/>
      <c r="D145" s="387"/>
      <c r="E145" s="387"/>
      <c r="F145" s="387"/>
      <c r="G145" s="387"/>
      <c r="H145" s="387"/>
      <c r="I145" s="387"/>
      <c r="J145" s="387"/>
      <c r="K145" s="387"/>
      <c r="L145" s="387"/>
      <c r="M145" s="387"/>
      <c r="N145" s="387"/>
      <c r="O145" s="387"/>
      <c r="P145" s="387"/>
      <c r="Q145" s="387"/>
      <c r="R145" s="387"/>
      <c r="S145" s="387"/>
      <c r="T145" s="387"/>
      <c r="U145" s="387"/>
      <c r="V145" s="387"/>
      <c r="W145" s="387"/>
      <c r="X145" s="387"/>
      <c r="Y145" s="387"/>
      <c r="Z145" s="387"/>
      <c r="AA145" s="387"/>
      <c r="AB145" s="387"/>
      <c r="AC145" s="387"/>
      <c r="AD145" s="387"/>
    </row>
    <row r="146" spans="1:30">
      <c r="A146" s="387"/>
      <c r="B146" s="387"/>
      <c r="C146" s="387"/>
      <c r="D146" s="387"/>
      <c r="E146" s="387"/>
      <c r="F146" s="387"/>
      <c r="G146" s="387"/>
      <c r="H146" s="387"/>
      <c r="I146" s="387"/>
      <c r="J146" s="387"/>
      <c r="K146" s="387"/>
      <c r="L146" s="387"/>
      <c r="M146" s="387"/>
      <c r="N146" s="387"/>
      <c r="O146" s="387"/>
      <c r="P146" s="387"/>
      <c r="Q146" s="387"/>
      <c r="R146" s="387"/>
      <c r="S146" s="387"/>
      <c r="T146" s="387"/>
      <c r="U146" s="387"/>
      <c r="V146" s="387"/>
      <c r="W146" s="387"/>
      <c r="X146" s="387"/>
      <c r="Y146" s="387"/>
      <c r="Z146" s="387"/>
      <c r="AA146" s="387"/>
      <c r="AB146" s="387"/>
      <c r="AC146" s="387"/>
      <c r="AD146" s="387"/>
    </row>
    <row r="147" spans="1:30">
      <c r="A147" s="387"/>
      <c r="B147" s="387"/>
      <c r="C147" s="387"/>
      <c r="D147" s="387"/>
      <c r="E147" s="387"/>
      <c r="F147" s="387"/>
      <c r="G147" s="387"/>
      <c r="H147" s="387"/>
      <c r="I147" s="387"/>
      <c r="J147" s="387"/>
      <c r="K147" s="387"/>
      <c r="L147" s="387"/>
      <c r="M147" s="387"/>
      <c r="N147" s="387"/>
      <c r="O147" s="387"/>
      <c r="P147" s="387"/>
      <c r="Q147" s="387"/>
      <c r="R147" s="387"/>
      <c r="S147" s="387"/>
      <c r="T147" s="387"/>
      <c r="U147" s="387"/>
      <c r="V147" s="387"/>
      <c r="W147" s="387"/>
      <c r="X147" s="387"/>
      <c r="Y147" s="387"/>
      <c r="Z147" s="387"/>
      <c r="AA147" s="387"/>
      <c r="AB147" s="387"/>
      <c r="AC147" s="387"/>
      <c r="AD147" s="387"/>
    </row>
    <row r="148" spans="1:30">
      <c r="A148" s="387"/>
      <c r="B148" s="387"/>
      <c r="C148" s="387"/>
      <c r="D148" s="387"/>
      <c r="E148" s="387"/>
      <c r="F148" s="387"/>
      <c r="G148" s="387"/>
      <c r="H148" s="387"/>
      <c r="I148" s="387"/>
      <c r="J148" s="387"/>
      <c r="K148" s="387"/>
      <c r="L148" s="387"/>
      <c r="M148" s="387"/>
      <c r="N148" s="387"/>
      <c r="O148" s="387"/>
      <c r="P148" s="387"/>
      <c r="Q148" s="387"/>
      <c r="R148" s="387"/>
      <c r="S148" s="387"/>
      <c r="T148" s="387"/>
      <c r="U148" s="387"/>
      <c r="V148" s="387"/>
      <c r="W148" s="387"/>
      <c r="X148" s="387"/>
      <c r="Y148" s="387"/>
      <c r="Z148" s="387"/>
      <c r="AA148" s="387"/>
      <c r="AB148" s="387"/>
      <c r="AC148" s="387"/>
      <c r="AD148" s="387"/>
    </row>
    <row r="149" spans="1:30">
      <c r="A149" s="387"/>
      <c r="B149" s="387"/>
      <c r="C149" s="387"/>
      <c r="D149" s="387"/>
      <c r="E149" s="387"/>
      <c r="F149" s="387"/>
      <c r="G149" s="387"/>
      <c r="H149" s="387"/>
      <c r="I149" s="387"/>
      <c r="J149" s="387"/>
      <c r="K149" s="387"/>
      <c r="L149" s="387"/>
      <c r="M149" s="387"/>
      <c r="N149" s="387"/>
      <c r="O149" s="387"/>
      <c r="P149" s="387"/>
      <c r="Q149" s="387"/>
      <c r="R149" s="387"/>
      <c r="S149" s="387"/>
      <c r="T149" s="387"/>
      <c r="U149" s="387"/>
      <c r="V149" s="387"/>
      <c r="W149" s="387"/>
      <c r="X149" s="387"/>
      <c r="Y149" s="387"/>
      <c r="Z149" s="387"/>
      <c r="AA149" s="387"/>
      <c r="AB149" s="387"/>
      <c r="AC149" s="387"/>
      <c r="AD149" s="387"/>
    </row>
    <row r="150" spans="1:30">
      <c r="A150" s="387"/>
      <c r="B150" s="387"/>
      <c r="C150" s="387"/>
      <c r="D150" s="387"/>
      <c r="E150" s="387"/>
      <c r="F150" s="387"/>
      <c r="G150" s="387"/>
      <c r="H150" s="387"/>
      <c r="I150" s="387"/>
      <c r="J150" s="387"/>
      <c r="K150" s="387"/>
      <c r="L150" s="387"/>
      <c r="M150" s="387"/>
      <c r="N150" s="387"/>
      <c r="O150" s="387"/>
      <c r="P150" s="387"/>
      <c r="Q150" s="387"/>
      <c r="R150" s="387"/>
      <c r="S150" s="387"/>
      <c r="T150" s="387"/>
      <c r="U150" s="387"/>
      <c r="V150" s="387"/>
      <c r="W150" s="387"/>
      <c r="X150" s="387"/>
      <c r="Y150" s="387"/>
      <c r="Z150" s="387"/>
      <c r="AA150" s="387"/>
      <c r="AB150" s="387"/>
      <c r="AC150" s="387"/>
      <c r="AD150" s="387"/>
    </row>
    <row r="151" spans="1:30">
      <c r="A151" s="387"/>
      <c r="B151" s="387"/>
      <c r="C151" s="387"/>
      <c r="D151" s="387"/>
      <c r="E151" s="387"/>
      <c r="F151" s="387"/>
      <c r="G151" s="387"/>
      <c r="H151" s="387"/>
      <c r="I151" s="387"/>
      <c r="J151" s="387"/>
      <c r="K151" s="387"/>
      <c r="L151" s="387"/>
      <c r="M151" s="387"/>
      <c r="N151" s="387"/>
      <c r="O151" s="387"/>
      <c r="P151" s="387"/>
      <c r="Q151" s="387"/>
      <c r="R151" s="387"/>
      <c r="S151" s="387"/>
      <c r="T151" s="387"/>
      <c r="U151" s="387"/>
      <c r="V151" s="387"/>
      <c r="W151" s="387"/>
      <c r="X151" s="387"/>
      <c r="Y151" s="387"/>
      <c r="Z151" s="387"/>
      <c r="AA151" s="387"/>
      <c r="AB151" s="387"/>
      <c r="AC151" s="387"/>
      <c r="AD151" s="387"/>
    </row>
    <row r="152" spans="1:30">
      <c r="A152" s="387"/>
      <c r="B152" s="387"/>
      <c r="C152" s="387"/>
      <c r="D152" s="387"/>
      <c r="E152" s="387"/>
      <c r="F152" s="387"/>
      <c r="G152" s="387"/>
      <c r="H152" s="387"/>
      <c r="I152" s="387"/>
      <c r="J152" s="387"/>
      <c r="K152" s="387"/>
      <c r="L152" s="387"/>
      <c r="M152" s="387"/>
      <c r="N152" s="387"/>
      <c r="O152" s="387"/>
      <c r="P152" s="387"/>
      <c r="Q152" s="387"/>
      <c r="R152" s="387"/>
      <c r="S152" s="387"/>
      <c r="T152" s="387"/>
      <c r="U152" s="387"/>
      <c r="V152" s="387"/>
      <c r="W152" s="387"/>
      <c r="X152" s="387"/>
      <c r="Y152" s="387"/>
      <c r="Z152" s="387"/>
      <c r="AA152" s="387"/>
      <c r="AB152" s="387"/>
      <c r="AC152" s="387"/>
      <c r="AD152" s="387"/>
    </row>
    <row r="153" spans="1:30">
      <c r="A153" s="387"/>
      <c r="B153" s="387"/>
      <c r="C153" s="387"/>
      <c r="D153" s="387"/>
      <c r="E153" s="387"/>
      <c r="F153" s="387"/>
      <c r="G153" s="387"/>
      <c r="H153" s="387"/>
      <c r="I153" s="387"/>
      <c r="J153" s="387"/>
      <c r="K153" s="387"/>
      <c r="L153" s="387"/>
      <c r="M153" s="387"/>
      <c r="N153" s="387"/>
      <c r="O153" s="387"/>
      <c r="P153" s="387"/>
      <c r="Q153" s="387"/>
      <c r="R153" s="387"/>
      <c r="S153" s="387"/>
      <c r="T153" s="387"/>
      <c r="U153" s="387"/>
      <c r="V153" s="387"/>
      <c r="W153" s="387"/>
      <c r="X153" s="387"/>
      <c r="Y153" s="387"/>
      <c r="Z153" s="387"/>
      <c r="AA153" s="387"/>
      <c r="AB153" s="387"/>
      <c r="AC153" s="387"/>
      <c r="AD153" s="387"/>
    </row>
    <row r="154" spans="1:30">
      <c r="A154" s="387"/>
      <c r="B154" s="387"/>
      <c r="C154" s="387"/>
      <c r="D154" s="387"/>
      <c r="E154" s="387"/>
      <c r="F154" s="387"/>
      <c r="G154" s="387"/>
      <c r="H154" s="387"/>
      <c r="I154" s="387"/>
      <c r="J154" s="387"/>
      <c r="K154" s="387"/>
      <c r="L154" s="387"/>
      <c r="M154" s="387"/>
      <c r="N154" s="387"/>
      <c r="O154" s="387"/>
      <c r="P154" s="387"/>
      <c r="Q154" s="387"/>
      <c r="R154" s="387"/>
      <c r="S154" s="387"/>
      <c r="T154" s="387"/>
      <c r="U154" s="387"/>
      <c r="V154" s="387"/>
      <c r="W154" s="387"/>
      <c r="X154" s="387"/>
      <c r="Y154" s="387"/>
      <c r="Z154" s="387"/>
      <c r="AA154" s="387"/>
      <c r="AB154" s="387"/>
      <c r="AC154" s="387"/>
      <c r="AD154" s="387"/>
    </row>
    <row r="155" spans="1:30">
      <c r="A155" s="387"/>
      <c r="B155" s="387"/>
      <c r="C155" s="387"/>
      <c r="D155" s="387"/>
      <c r="E155" s="387"/>
      <c r="F155" s="387"/>
      <c r="G155" s="387"/>
      <c r="H155" s="387"/>
      <c r="I155" s="387"/>
      <c r="J155" s="387"/>
      <c r="K155" s="387"/>
      <c r="L155" s="387"/>
      <c r="M155" s="387"/>
      <c r="N155" s="387"/>
      <c r="O155" s="387"/>
      <c r="P155" s="387"/>
      <c r="Q155" s="387"/>
      <c r="R155" s="387"/>
      <c r="S155" s="387"/>
      <c r="T155" s="387"/>
      <c r="U155" s="387"/>
      <c r="V155" s="387"/>
      <c r="W155" s="387"/>
      <c r="X155" s="387"/>
      <c r="Y155" s="387"/>
      <c r="Z155" s="387"/>
      <c r="AA155" s="387"/>
      <c r="AB155" s="387"/>
      <c r="AC155" s="387"/>
      <c r="AD155" s="387"/>
    </row>
    <row r="156" spans="1:30">
      <c r="A156" s="387"/>
      <c r="B156" s="387"/>
      <c r="C156" s="387"/>
      <c r="D156" s="387"/>
      <c r="E156" s="387"/>
      <c r="F156" s="387"/>
      <c r="G156" s="387"/>
      <c r="H156" s="387"/>
      <c r="I156" s="387"/>
      <c r="J156" s="387"/>
      <c r="K156" s="387"/>
      <c r="L156" s="387"/>
      <c r="M156" s="387"/>
      <c r="N156" s="387"/>
      <c r="O156" s="387"/>
      <c r="P156" s="387"/>
      <c r="Q156" s="387"/>
      <c r="R156" s="387"/>
      <c r="S156" s="387"/>
      <c r="T156" s="387"/>
      <c r="U156" s="387"/>
      <c r="V156" s="387"/>
      <c r="W156" s="387"/>
      <c r="X156" s="387"/>
      <c r="Y156" s="387"/>
      <c r="Z156" s="387"/>
      <c r="AA156" s="387"/>
      <c r="AB156" s="387"/>
      <c r="AC156" s="387"/>
      <c r="AD156" s="387"/>
    </row>
    <row r="157" spans="1:30">
      <c r="A157" s="387"/>
      <c r="B157" s="387"/>
      <c r="C157" s="387"/>
      <c r="D157" s="387"/>
      <c r="E157" s="387"/>
      <c r="F157" s="387"/>
      <c r="G157" s="387"/>
      <c r="H157" s="387"/>
      <c r="I157" s="387"/>
      <c r="J157" s="387"/>
      <c r="K157" s="387"/>
      <c r="L157" s="387"/>
      <c r="M157" s="387"/>
      <c r="N157" s="387"/>
      <c r="O157" s="387"/>
      <c r="P157" s="387"/>
      <c r="Q157" s="387"/>
      <c r="R157" s="387"/>
      <c r="S157" s="387"/>
      <c r="T157" s="387"/>
      <c r="U157" s="387"/>
      <c r="V157" s="387"/>
      <c r="W157" s="387"/>
      <c r="X157" s="387"/>
      <c r="Y157" s="387"/>
      <c r="Z157" s="387"/>
      <c r="AA157" s="387"/>
      <c r="AB157" s="387"/>
      <c r="AC157" s="387"/>
      <c r="AD157" s="387"/>
    </row>
    <row r="158" spans="1:30">
      <c r="A158" s="387"/>
      <c r="B158" s="387"/>
      <c r="C158" s="387"/>
      <c r="D158" s="387"/>
      <c r="E158" s="387"/>
      <c r="F158" s="387"/>
      <c r="G158" s="387"/>
      <c r="H158" s="387"/>
      <c r="I158" s="387"/>
      <c r="J158" s="387"/>
      <c r="K158" s="387"/>
      <c r="L158" s="387"/>
      <c r="M158" s="387"/>
      <c r="N158" s="387"/>
      <c r="O158" s="387"/>
      <c r="P158" s="387"/>
      <c r="Q158" s="387"/>
      <c r="R158" s="387"/>
      <c r="S158" s="387"/>
      <c r="T158" s="387"/>
      <c r="U158" s="387"/>
      <c r="V158" s="387"/>
      <c r="W158" s="387"/>
      <c r="X158" s="387"/>
      <c r="Y158" s="387"/>
      <c r="Z158" s="387"/>
      <c r="AA158" s="387"/>
      <c r="AB158" s="387"/>
      <c r="AC158" s="387"/>
      <c r="AD158" s="387"/>
    </row>
    <row r="159" spans="1:30">
      <c r="A159" s="387"/>
      <c r="B159" s="387"/>
      <c r="C159" s="387"/>
      <c r="D159" s="387"/>
      <c r="E159" s="387"/>
      <c r="F159" s="387"/>
      <c r="G159" s="387"/>
      <c r="H159" s="387"/>
      <c r="I159" s="387"/>
      <c r="J159" s="387"/>
      <c r="K159" s="387"/>
      <c r="L159" s="387"/>
      <c r="M159" s="387"/>
      <c r="N159" s="387"/>
      <c r="O159" s="387"/>
      <c r="P159" s="387"/>
      <c r="Q159" s="387"/>
      <c r="R159" s="387"/>
      <c r="S159" s="387"/>
      <c r="T159" s="387"/>
      <c r="U159" s="387"/>
      <c r="V159" s="387"/>
      <c r="W159" s="387"/>
      <c r="X159" s="387"/>
      <c r="Y159" s="387"/>
      <c r="Z159" s="387"/>
      <c r="AA159" s="387"/>
      <c r="AB159" s="387"/>
      <c r="AC159" s="387"/>
      <c r="AD159" s="387"/>
    </row>
    <row r="160" spans="1:30">
      <c r="A160" s="387"/>
      <c r="B160" s="387"/>
      <c r="C160" s="387"/>
      <c r="D160" s="387"/>
      <c r="E160" s="387"/>
      <c r="F160" s="387"/>
      <c r="G160" s="387"/>
      <c r="H160" s="387"/>
      <c r="I160" s="387"/>
      <c r="J160" s="387"/>
      <c r="K160" s="387"/>
      <c r="L160" s="387"/>
      <c r="M160" s="387"/>
      <c r="N160" s="387"/>
      <c r="O160" s="387"/>
      <c r="P160" s="387"/>
      <c r="Q160" s="387"/>
      <c r="R160" s="387"/>
      <c r="S160" s="387"/>
      <c r="T160" s="387"/>
      <c r="U160" s="387"/>
      <c r="V160" s="387"/>
      <c r="W160" s="387"/>
      <c r="X160" s="387"/>
      <c r="Y160" s="387"/>
      <c r="Z160" s="387"/>
      <c r="AA160" s="387"/>
      <c r="AB160" s="387"/>
      <c r="AC160" s="387"/>
      <c r="AD160" s="387"/>
    </row>
    <row r="161" spans="1:30">
      <c r="A161" s="387"/>
      <c r="B161" s="387"/>
      <c r="C161" s="387"/>
      <c r="D161" s="387"/>
      <c r="E161" s="387"/>
      <c r="F161" s="387"/>
      <c r="G161" s="387"/>
      <c r="H161" s="387"/>
      <c r="I161" s="387"/>
      <c r="J161" s="387"/>
      <c r="K161" s="387"/>
      <c r="L161" s="387"/>
      <c r="M161" s="387"/>
      <c r="N161" s="387"/>
      <c r="O161" s="387"/>
      <c r="P161" s="387"/>
      <c r="Q161" s="387"/>
      <c r="R161" s="387"/>
      <c r="S161" s="387"/>
      <c r="T161" s="387"/>
      <c r="U161" s="387"/>
      <c r="V161" s="387"/>
      <c r="W161" s="387"/>
      <c r="X161" s="387"/>
      <c r="Y161" s="387"/>
      <c r="Z161" s="387"/>
      <c r="AA161" s="387"/>
      <c r="AB161" s="387"/>
      <c r="AC161" s="387"/>
      <c r="AD161" s="387"/>
    </row>
    <row r="162" spans="1:30">
      <c r="A162" s="387"/>
      <c r="B162" s="387"/>
      <c r="C162" s="387"/>
      <c r="D162" s="387"/>
      <c r="E162" s="387"/>
      <c r="F162" s="387"/>
      <c r="G162" s="387"/>
      <c r="H162" s="387"/>
      <c r="I162" s="387"/>
      <c r="J162" s="387"/>
      <c r="K162" s="387"/>
      <c r="L162" s="387"/>
      <c r="M162" s="387"/>
      <c r="N162" s="387"/>
      <c r="O162" s="387"/>
      <c r="P162" s="387"/>
      <c r="Q162" s="387"/>
      <c r="R162" s="387"/>
      <c r="S162" s="387"/>
      <c r="T162" s="387"/>
      <c r="U162" s="387"/>
      <c r="V162" s="387"/>
      <c r="W162" s="387"/>
      <c r="X162" s="387"/>
      <c r="Y162" s="387"/>
      <c r="Z162" s="387"/>
      <c r="AA162" s="387"/>
      <c r="AB162" s="387"/>
      <c r="AC162" s="387"/>
      <c r="AD162" s="387"/>
    </row>
    <row r="163" spans="1:30">
      <c r="A163" s="387"/>
      <c r="B163" s="387"/>
      <c r="C163" s="387"/>
      <c r="D163" s="387"/>
      <c r="E163" s="387"/>
      <c r="F163" s="387"/>
      <c r="G163" s="387"/>
      <c r="H163" s="387"/>
      <c r="I163" s="387"/>
      <c r="J163" s="387"/>
      <c r="K163" s="387"/>
      <c r="L163" s="387"/>
      <c r="M163" s="387"/>
      <c r="N163" s="387"/>
      <c r="O163" s="387"/>
      <c r="P163" s="387"/>
      <c r="Q163" s="387"/>
      <c r="R163" s="387"/>
      <c r="S163" s="387"/>
      <c r="T163" s="387"/>
      <c r="U163" s="387"/>
      <c r="V163" s="387"/>
      <c r="W163" s="387"/>
      <c r="X163" s="387"/>
      <c r="Y163" s="387"/>
      <c r="Z163" s="387"/>
      <c r="AA163" s="387"/>
      <c r="AB163" s="387"/>
      <c r="AC163" s="387"/>
      <c r="AD163" s="387"/>
    </row>
    <row r="164" spans="1:30">
      <c r="A164" s="387"/>
      <c r="B164" s="387"/>
      <c r="C164" s="387"/>
      <c r="D164" s="387"/>
      <c r="E164" s="387"/>
      <c r="F164" s="387"/>
      <c r="G164" s="387"/>
      <c r="H164" s="387"/>
      <c r="I164" s="387"/>
      <c r="J164" s="387"/>
      <c r="K164" s="387"/>
      <c r="L164" s="387"/>
      <c r="M164" s="387"/>
      <c r="N164" s="387"/>
      <c r="O164" s="387"/>
      <c r="P164" s="387"/>
      <c r="Q164" s="387"/>
      <c r="R164" s="387"/>
      <c r="S164" s="387"/>
      <c r="T164" s="387"/>
      <c r="U164" s="387"/>
      <c r="V164" s="387"/>
      <c r="W164" s="387"/>
      <c r="X164" s="387"/>
      <c r="Y164" s="387"/>
      <c r="Z164" s="387"/>
      <c r="AA164" s="387"/>
      <c r="AB164" s="387"/>
      <c r="AC164" s="387"/>
      <c r="AD164" s="387"/>
    </row>
    <row r="165" spans="1:30">
      <c r="A165" s="387"/>
      <c r="B165" s="387"/>
      <c r="C165" s="387"/>
      <c r="D165" s="387"/>
      <c r="E165" s="387"/>
      <c r="F165" s="387"/>
      <c r="G165" s="387"/>
      <c r="H165" s="387"/>
      <c r="I165" s="387"/>
      <c r="J165" s="387"/>
      <c r="K165" s="387"/>
      <c r="L165" s="387"/>
      <c r="M165" s="387"/>
      <c r="N165" s="387"/>
      <c r="O165" s="387"/>
      <c r="P165" s="387"/>
      <c r="Q165" s="387"/>
      <c r="R165" s="387"/>
      <c r="S165" s="387"/>
      <c r="T165" s="387"/>
      <c r="U165" s="387"/>
      <c r="V165" s="387"/>
      <c r="W165" s="387"/>
      <c r="X165" s="387"/>
      <c r="Y165" s="387"/>
      <c r="Z165" s="387"/>
      <c r="AA165" s="387"/>
      <c r="AB165" s="387"/>
      <c r="AC165" s="387"/>
      <c r="AD165" s="387"/>
    </row>
    <row r="166" spans="1:30">
      <c r="A166" s="387"/>
      <c r="B166" s="387"/>
      <c r="C166" s="387"/>
      <c r="D166" s="387"/>
      <c r="E166" s="387"/>
      <c r="F166" s="387"/>
      <c r="G166" s="387"/>
      <c r="H166" s="387"/>
      <c r="I166" s="387"/>
      <c r="J166" s="387"/>
      <c r="K166" s="387"/>
      <c r="L166" s="387"/>
      <c r="M166" s="387"/>
      <c r="N166" s="387"/>
      <c r="O166" s="387"/>
      <c r="P166" s="387"/>
      <c r="Q166" s="387"/>
      <c r="R166" s="387"/>
      <c r="S166" s="387"/>
      <c r="T166" s="387"/>
      <c r="U166" s="387"/>
      <c r="V166" s="387"/>
      <c r="W166" s="387"/>
      <c r="X166" s="387"/>
      <c r="Y166" s="387"/>
      <c r="Z166" s="387"/>
      <c r="AA166" s="387"/>
      <c r="AB166" s="387"/>
      <c r="AC166" s="387"/>
      <c r="AD166" s="387"/>
    </row>
    <row r="167" spans="1:30">
      <c r="A167" s="387"/>
      <c r="B167" s="387"/>
      <c r="C167" s="387"/>
      <c r="D167" s="387"/>
      <c r="E167" s="387"/>
      <c r="F167" s="387"/>
      <c r="G167" s="387"/>
      <c r="H167" s="387"/>
      <c r="I167" s="387"/>
      <c r="J167" s="387"/>
      <c r="K167" s="387"/>
      <c r="L167" s="387"/>
      <c r="M167" s="387"/>
      <c r="N167" s="387"/>
      <c r="O167" s="387"/>
      <c r="P167" s="387"/>
      <c r="Q167" s="387"/>
      <c r="R167" s="387"/>
      <c r="S167" s="387"/>
      <c r="T167" s="387"/>
      <c r="U167" s="387"/>
      <c r="V167" s="387"/>
      <c r="W167" s="387"/>
      <c r="X167" s="387"/>
      <c r="Y167" s="387"/>
      <c r="Z167" s="387"/>
      <c r="AA167" s="387"/>
      <c r="AB167" s="387"/>
      <c r="AC167" s="387"/>
      <c r="AD167" s="387"/>
    </row>
    <row r="168" spans="1:30">
      <c r="A168" s="387"/>
      <c r="B168" s="387"/>
      <c r="C168" s="387"/>
      <c r="D168" s="387"/>
      <c r="E168" s="387"/>
      <c r="F168" s="387"/>
      <c r="G168" s="387"/>
      <c r="H168" s="387"/>
      <c r="I168" s="387"/>
      <c r="J168" s="387"/>
      <c r="K168" s="387"/>
      <c r="L168" s="387"/>
      <c r="M168" s="387"/>
      <c r="N168" s="387"/>
      <c r="O168" s="387"/>
      <c r="P168" s="387"/>
      <c r="Q168" s="387"/>
      <c r="R168" s="387"/>
      <c r="S168" s="387"/>
      <c r="T168" s="387"/>
      <c r="U168" s="387"/>
      <c r="V168" s="387"/>
      <c r="W168" s="387"/>
      <c r="X168" s="387"/>
      <c r="Y168" s="387"/>
      <c r="Z168" s="387"/>
      <c r="AA168" s="387"/>
      <c r="AB168" s="387"/>
      <c r="AC168" s="387"/>
      <c r="AD168" s="387"/>
    </row>
    <row r="169" spans="1:30">
      <c r="A169" s="387"/>
      <c r="B169" s="387"/>
      <c r="C169" s="387"/>
      <c r="D169" s="387"/>
      <c r="E169" s="387"/>
      <c r="F169" s="387"/>
      <c r="G169" s="387"/>
      <c r="H169" s="387"/>
      <c r="I169" s="387"/>
      <c r="J169" s="387"/>
      <c r="K169" s="387"/>
      <c r="L169" s="387"/>
      <c r="M169" s="387"/>
      <c r="N169" s="387"/>
      <c r="O169" s="387"/>
      <c r="P169" s="387"/>
      <c r="Q169" s="387"/>
      <c r="R169" s="387"/>
      <c r="S169" s="387"/>
      <c r="T169" s="387"/>
      <c r="U169" s="387"/>
      <c r="V169" s="387"/>
      <c r="W169" s="387"/>
      <c r="X169" s="387"/>
      <c r="Y169" s="387"/>
      <c r="Z169" s="387"/>
      <c r="AA169" s="387"/>
      <c r="AB169" s="387"/>
      <c r="AC169" s="387"/>
      <c r="AD169" s="387"/>
    </row>
    <row r="170" spans="1:30">
      <c r="A170" s="387"/>
      <c r="B170" s="387"/>
      <c r="C170" s="387"/>
      <c r="D170" s="387"/>
      <c r="E170" s="387"/>
      <c r="F170" s="387"/>
      <c r="G170" s="387"/>
      <c r="H170" s="387"/>
      <c r="I170" s="387"/>
      <c r="J170" s="387"/>
      <c r="K170" s="387"/>
      <c r="L170" s="387"/>
      <c r="M170" s="387"/>
      <c r="N170" s="387"/>
      <c r="O170" s="387"/>
      <c r="P170" s="387"/>
      <c r="Q170" s="387"/>
      <c r="R170" s="387"/>
      <c r="S170" s="387"/>
      <c r="T170" s="387"/>
      <c r="U170" s="387"/>
      <c r="V170" s="387"/>
      <c r="W170" s="387"/>
      <c r="X170" s="387"/>
      <c r="Y170" s="387"/>
      <c r="Z170" s="387"/>
      <c r="AA170" s="387"/>
      <c r="AB170" s="387"/>
      <c r="AC170" s="387"/>
      <c r="AD170" s="387"/>
    </row>
    <row r="171" spans="1:30">
      <c r="A171" s="387"/>
      <c r="B171" s="387"/>
      <c r="C171" s="387"/>
      <c r="D171" s="387"/>
      <c r="E171" s="387"/>
      <c r="F171" s="387"/>
      <c r="G171" s="387"/>
      <c r="H171" s="387"/>
      <c r="I171" s="387"/>
      <c r="J171" s="387"/>
      <c r="K171" s="387"/>
      <c r="L171" s="387"/>
      <c r="M171" s="387"/>
      <c r="N171" s="387"/>
      <c r="O171" s="387"/>
      <c r="P171" s="387"/>
      <c r="Q171" s="387"/>
      <c r="R171" s="387"/>
      <c r="S171" s="387"/>
      <c r="T171" s="387"/>
      <c r="U171" s="387"/>
      <c r="V171" s="387"/>
      <c r="W171" s="387"/>
      <c r="X171" s="387"/>
      <c r="Y171" s="387"/>
      <c r="Z171" s="387"/>
      <c r="AA171" s="387"/>
      <c r="AB171" s="387"/>
      <c r="AC171" s="387"/>
      <c r="AD171" s="387"/>
    </row>
    <row r="172" spans="1:30">
      <c r="A172" s="387"/>
      <c r="B172" s="387"/>
      <c r="C172" s="387"/>
      <c r="D172" s="387"/>
      <c r="E172" s="387"/>
      <c r="F172" s="387"/>
      <c r="G172" s="387"/>
      <c r="H172" s="387"/>
      <c r="I172" s="387"/>
      <c r="J172" s="387"/>
      <c r="K172" s="387"/>
      <c r="L172" s="387"/>
      <c r="M172" s="387"/>
      <c r="N172" s="387"/>
      <c r="O172" s="387"/>
      <c r="P172" s="387"/>
      <c r="Q172" s="387"/>
      <c r="R172" s="387"/>
      <c r="S172" s="387"/>
      <c r="T172" s="387"/>
      <c r="U172" s="387"/>
      <c r="V172" s="387"/>
      <c r="W172" s="387"/>
      <c r="X172" s="387"/>
      <c r="Y172" s="387"/>
      <c r="Z172" s="387"/>
      <c r="AA172" s="387"/>
      <c r="AB172" s="387"/>
      <c r="AC172" s="387"/>
      <c r="AD172" s="387"/>
    </row>
    <row r="173" spans="1:30">
      <c r="A173" s="387"/>
      <c r="B173" s="387"/>
      <c r="C173" s="387"/>
      <c r="D173" s="387"/>
      <c r="E173" s="387"/>
      <c r="F173" s="387"/>
      <c r="G173" s="387"/>
      <c r="H173" s="387"/>
      <c r="I173" s="387"/>
      <c r="J173" s="387"/>
      <c r="K173" s="387"/>
      <c r="L173" s="387"/>
      <c r="M173" s="387"/>
      <c r="N173" s="387"/>
      <c r="O173" s="387"/>
      <c r="P173" s="387"/>
      <c r="Q173" s="387"/>
      <c r="R173" s="387"/>
      <c r="S173" s="387"/>
      <c r="T173" s="387"/>
      <c r="U173" s="387"/>
      <c r="V173" s="387"/>
      <c r="W173" s="387"/>
      <c r="X173" s="387"/>
      <c r="Y173" s="387"/>
      <c r="Z173" s="387"/>
      <c r="AA173" s="387"/>
      <c r="AB173" s="387"/>
      <c r="AC173" s="387"/>
      <c r="AD173" s="387"/>
    </row>
    <row r="174" spans="1:30">
      <c r="A174" s="387"/>
      <c r="B174" s="387"/>
      <c r="C174" s="387"/>
      <c r="D174" s="387"/>
      <c r="E174" s="387"/>
      <c r="F174" s="387"/>
      <c r="G174" s="387"/>
      <c r="H174" s="387"/>
      <c r="I174" s="387"/>
      <c r="J174" s="387"/>
      <c r="K174" s="387"/>
      <c r="L174" s="387"/>
      <c r="M174" s="387"/>
      <c r="N174" s="387"/>
      <c r="O174" s="387"/>
      <c r="P174" s="387"/>
      <c r="Q174" s="387"/>
      <c r="R174" s="387"/>
      <c r="S174" s="387"/>
      <c r="T174" s="387"/>
      <c r="U174" s="387"/>
      <c r="V174" s="387"/>
      <c r="W174" s="387"/>
      <c r="X174" s="387"/>
      <c r="Y174" s="387"/>
      <c r="Z174" s="387"/>
      <c r="AA174" s="387"/>
      <c r="AB174" s="387"/>
      <c r="AC174" s="387"/>
      <c r="AD174" s="387"/>
    </row>
    <row r="175" spans="1:30">
      <c r="A175" s="387"/>
      <c r="B175" s="387"/>
      <c r="C175" s="387"/>
      <c r="D175" s="387"/>
      <c r="E175" s="387"/>
      <c r="F175" s="387"/>
      <c r="G175" s="387"/>
      <c r="H175" s="387"/>
      <c r="I175" s="387"/>
      <c r="J175" s="387"/>
      <c r="K175" s="387"/>
      <c r="L175" s="387"/>
      <c r="M175" s="387"/>
      <c r="N175" s="387"/>
      <c r="O175" s="387"/>
      <c r="P175" s="387"/>
      <c r="Q175" s="387"/>
      <c r="R175" s="387"/>
      <c r="S175" s="387"/>
      <c r="T175" s="387"/>
      <c r="U175" s="387"/>
      <c r="V175" s="387"/>
      <c r="W175" s="387"/>
      <c r="X175" s="387"/>
      <c r="Y175" s="387"/>
      <c r="Z175" s="387"/>
      <c r="AA175" s="387"/>
      <c r="AB175" s="387"/>
      <c r="AC175" s="387"/>
      <c r="AD175" s="387"/>
    </row>
    <row r="176" spans="1:30">
      <c r="A176" s="387"/>
      <c r="B176" s="387"/>
      <c r="C176" s="387"/>
      <c r="D176" s="387"/>
      <c r="E176" s="387"/>
      <c r="F176" s="387"/>
      <c r="G176" s="387"/>
      <c r="H176" s="387"/>
      <c r="I176" s="387"/>
      <c r="J176" s="387"/>
      <c r="K176" s="387"/>
      <c r="L176" s="387"/>
      <c r="M176" s="387"/>
      <c r="N176" s="387"/>
      <c r="O176" s="387"/>
      <c r="P176" s="387"/>
      <c r="Q176" s="387"/>
      <c r="R176" s="387"/>
      <c r="S176" s="387"/>
      <c r="T176" s="387"/>
      <c r="U176" s="387"/>
      <c r="V176" s="387"/>
      <c r="W176" s="387"/>
      <c r="X176" s="387"/>
      <c r="Y176" s="387"/>
      <c r="Z176" s="387"/>
      <c r="AA176" s="387"/>
      <c r="AB176" s="387"/>
      <c r="AC176" s="387"/>
      <c r="AD176" s="387"/>
    </row>
    <row r="177" spans="1:30">
      <c r="A177" s="387"/>
      <c r="B177" s="387"/>
      <c r="C177" s="387"/>
      <c r="D177" s="387"/>
      <c r="E177" s="387"/>
      <c r="F177" s="387"/>
      <c r="G177" s="387"/>
      <c r="H177" s="387"/>
      <c r="I177" s="387"/>
      <c r="J177" s="387"/>
      <c r="K177" s="387"/>
      <c r="L177" s="387"/>
      <c r="M177" s="387"/>
      <c r="N177" s="387"/>
      <c r="O177" s="387"/>
      <c r="P177" s="387"/>
      <c r="Q177" s="387"/>
      <c r="R177" s="387"/>
      <c r="S177" s="387"/>
      <c r="T177" s="387"/>
      <c r="U177" s="387"/>
      <c r="V177" s="387"/>
      <c r="W177" s="387"/>
      <c r="X177" s="387"/>
      <c r="Y177" s="387"/>
      <c r="Z177" s="387"/>
      <c r="AA177" s="387"/>
      <c r="AB177" s="387"/>
      <c r="AC177" s="387"/>
      <c r="AD177" s="387"/>
    </row>
    <row r="178" spans="1:30">
      <c r="A178" s="387"/>
      <c r="B178" s="387"/>
      <c r="C178" s="387"/>
      <c r="D178" s="387"/>
      <c r="E178" s="387"/>
      <c r="F178" s="387"/>
      <c r="G178" s="387"/>
      <c r="H178" s="387"/>
      <c r="I178" s="387"/>
      <c r="J178" s="387"/>
      <c r="K178" s="387"/>
      <c r="L178" s="387"/>
      <c r="M178" s="387"/>
      <c r="N178" s="387"/>
      <c r="O178" s="387"/>
      <c r="P178" s="387"/>
      <c r="Q178" s="387"/>
      <c r="R178" s="387"/>
      <c r="S178" s="387"/>
      <c r="T178" s="387"/>
      <c r="U178" s="387"/>
      <c r="V178" s="387"/>
      <c r="W178" s="387"/>
      <c r="X178" s="387"/>
      <c r="Y178" s="387"/>
      <c r="Z178" s="387"/>
      <c r="AA178" s="387"/>
      <c r="AB178" s="387"/>
      <c r="AC178" s="387"/>
      <c r="AD178" s="387"/>
    </row>
    <row r="179" spans="1:30">
      <c r="A179" s="387"/>
      <c r="B179" s="387"/>
      <c r="C179" s="387"/>
      <c r="D179" s="387"/>
      <c r="E179" s="387"/>
      <c r="F179" s="387"/>
      <c r="G179" s="387"/>
      <c r="H179" s="387"/>
      <c r="I179" s="387"/>
      <c r="J179" s="387"/>
      <c r="K179" s="387"/>
      <c r="L179" s="387"/>
      <c r="M179" s="387"/>
      <c r="N179" s="387"/>
      <c r="O179" s="387"/>
      <c r="P179" s="387"/>
      <c r="Q179" s="387"/>
      <c r="R179" s="387"/>
      <c r="S179" s="387"/>
      <c r="T179" s="387"/>
      <c r="U179" s="387"/>
      <c r="V179" s="387"/>
      <c r="W179" s="387"/>
      <c r="X179" s="387"/>
      <c r="Y179" s="387"/>
      <c r="Z179" s="387"/>
      <c r="AA179" s="387"/>
      <c r="AB179" s="387"/>
      <c r="AC179" s="387"/>
      <c r="AD179" s="387"/>
    </row>
    <row r="180" spans="1:30">
      <c r="A180" s="387"/>
      <c r="B180" s="387"/>
      <c r="C180" s="387"/>
      <c r="D180" s="387"/>
      <c r="E180" s="387"/>
      <c r="F180" s="387"/>
      <c r="G180" s="387"/>
      <c r="H180" s="387"/>
      <c r="I180" s="387"/>
      <c r="J180" s="387"/>
      <c r="K180" s="387"/>
      <c r="L180" s="387"/>
      <c r="M180" s="387"/>
      <c r="N180" s="387"/>
      <c r="O180" s="387"/>
      <c r="P180" s="387"/>
      <c r="Q180" s="387"/>
      <c r="R180" s="387"/>
      <c r="S180" s="387"/>
      <c r="T180" s="387"/>
      <c r="U180" s="387"/>
      <c r="V180" s="387"/>
      <c r="W180" s="387"/>
      <c r="X180" s="387"/>
      <c r="Y180" s="387"/>
      <c r="Z180" s="387"/>
      <c r="AA180" s="387"/>
      <c r="AB180" s="387"/>
      <c r="AC180" s="387"/>
      <c r="AD180" s="387"/>
    </row>
    <row r="181" spans="1:30">
      <c r="A181" s="387"/>
      <c r="B181" s="387"/>
      <c r="C181" s="387"/>
      <c r="D181" s="387"/>
      <c r="E181" s="387"/>
      <c r="F181" s="387"/>
      <c r="G181" s="387"/>
      <c r="H181" s="387"/>
      <c r="I181" s="387"/>
      <c r="J181" s="387"/>
      <c r="K181" s="387"/>
      <c r="L181" s="387"/>
      <c r="M181" s="387"/>
      <c r="N181" s="387"/>
      <c r="O181" s="387"/>
      <c r="P181" s="387"/>
      <c r="Q181" s="387"/>
      <c r="R181" s="387"/>
      <c r="S181" s="387"/>
      <c r="T181" s="387"/>
      <c r="U181" s="387"/>
      <c r="V181" s="387"/>
      <c r="W181" s="387"/>
      <c r="X181" s="387"/>
      <c r="Y181" s="387"/>
      <c r="Z181" s="387"/>
      <c r="AA181" s="387"/>
      <c r="AB181" s="387"/>
      <c r="AC181" s="387"/>
      <c r="AD181" s="387"/>
    </row>
    <row r="182" spans="1:30">
      <c r="A182" s="387"/>
      <c r="B182" s="387"/>
      <c r="C182" s="387"/>
      <c r="D182" s="387"/>
      <c r="E182" s="387"/>
      <c r="F182" s="387"/>
      <c r="G182" s="387"/>
      <c r="H182" s="387"/>
      <c r="I182" s="387"/>
      <c r="J182" s="387"/>
      <c r="K182" s="387"/>
      <c r="L182" s="387"/>
      <c r="M182" s="387"/>
      <c r="N182" s="387"/>
      <c r="O182" s="387"/>
      <c r="P182" s="387"/>
      <c r="Q182" s="387"/>
      <c r="R182" s="387"/>
      <c r="S182" s="387"/>
      <c r="T182" s="387"/>
      <c r="U182" s="387"/>
      <c r="V182" s="387"/>
      <c r="W182" s="387"/>
      <c r="X182" s="387"/>
      <c r="Y182" s="387"/>
      <c r="Z182" s="387"/>
      <c r="AA182" s="387"/>
      <c r="AB182" s="387"/>
      <c r="AC182" s="387"/>
      <c r="AD182" s="387"/>
    </row>
    <row r="183" spans="1:30">
      <c r="A183" s="387"/>
      <c r="B183" s="387"/>
      <c r="C183" s="387"/>
      <c r="D183" s="387"/>
      <c r="E183" s="387"/>
      <c r="F183" s="387"/>
      <c r="G183" s="387"/>
      <c r="H183" s="387"/>
      <c r="I183" s="387"/>
      <c r="J183" s="387"/>
      <c r="K183" s="387"/>
      <c r="L183" s="387"/>
      <c r="M183" s="387"/>
      <c r="N183" s="387"/>
      <c r="O183" s="387"/>
      <c r="P183" s="387"/>
      <c r="Q183" s="387"/>
      <c r="R183" s="387"/>
      <c r="S183" s="387"/>
      <c r="T183" s="387"/>
      <c r="U183" s="387"/>
      <c r="V183" s="387"/>
      <c r="W183" s="387"/>
      <c r="X183" s="387"/>
      <c r="Y183" s="387"/>
      <c r="Z183" s="387"/>
      <c r="AA183" s="387"/>
      <c r="AB183" s="387"/>
      <c r="AC183" s="387"/>
      <c r="AD183" s="387"/>
    </row>
    <row r="184" spans="1:30">
      <c r="A184" s="387"/>
      <c r="B184" s="387"/>
      <c r="C184" s="387"/>
      <c r="D184" s="387"/>
      <c r="E184" s="387"/>
      <c r="F184" s="387"/>
      <c r="G184" s="387"/>
      <c r="H184" s="387"/>
      <c r="I184" s="387"/>
      <c r="J184" s="387"/>
      <c r="K184" s="387"/>
      <c r="L184" s="387"/>
      <c r="M184" s="387"/>
      <c r="N184" s="387"/>
      <c r="O184" s="387"/>
      <c r="P184" s="387"/>
      <c r="Q184" s="387"/>
      <c r="R184" s="387"/>
      <c r="S184" s="387"/>
      <c r="T184" s="387"/>
      <c r="U184" s="387"/>
      <c r="V184" s="387"/>
      <c r="W184" s="387"/>
      <c r="X184" s="387"/>
      <c r="Y184" s="387"/>
      <c r="Z184" s="387"/>
      <c r="AA184" s="387"/>
      <c r="AB184" s="387"/>
      <c r="AC184" s="387"/>
      <c r="AD184" s="387"/>
    </row>
    <row r="185" spans="1:30">
      <c r="A185" s="387"/>
      <c r="B185" s="387"/>
      <c r="C185" s="387"/>
      <c r="D185" s="387"/>
      <c r="E185" s="387"/>
      <c r="F185" s="387"/>
      <c r="G185" s="387"/>
      <c r="H185" s="387"/>
      <c r="I185" s="387"/>
      <c r="J185" s="387"/>
      <c r="K185" s="387"/>
      <c r="L185" s="387"/>
      <c r="M185" s="387"/>
      <c r="N185" s="387"/>
      <c r="O185" s="387"/>
      <c r="P185" s="387"/>
      <c r="Q185" s="387"/>
      <c r="R185" s="387"/>
      <c r="S185" s="387"/>
      <c r="T185" s="387"/>
      <c r="U185" s="387"/>
      <c r="V185" s="387"/>
      <c r="W185" s="387"/>
      <c r="X185" s="387"/>
      <c r="Y185" s="387"/>
      <c r="Z185" s="387"/>
      <c r="AA185" s="387"/>
      <c r="AB185" s="387"/>
      <c r="AC185" s="387"/>
      <c r="AD185" s="387"/>
    </row>
    <row r="186" spans="1:30">
      <c r="A186" s="387"/>
      <c r="B186" s="387"/>
      <c r="C186" s="387"/>
      <c r="D186" s="387"/>
      <c r="E186" s="387"/>
      <c r="F186" s="387"/>
      <c r="G186" s="387"/>
      <c r="H186" s="387"/>
      <c r="I186" s="387"/>
      <c r="J186" s="387"/>
      <c r="K186" s="387"/>
      <c r="L186" s="387"/>
      <c r="M186" s="387"/>
      <c r="N186" s="387"/>
      <c r="O186" s="387"/>
      <c r="P186" s="387"/>
      <c r="Q186" s="387"/>
      <c r="R186" s="387"/>
      <c r="S186" s="387"/>
      <c r="T186" s="387"/>
      <c r="U186" s="387"/>
      <c r="V186" s="387"/>
      <c r="W186" s="387"/>
      <c r="X186" s="387"/>
      <c r="Y186" s="387"/>
      <c r="Z186" s="387"/>
      <c r="AA186" s="387"/>
      <c r="AB186" s="387"/>
      <c r="AC186" s="387"/>
      <c r="AD186" s="387"/>
    </row>
    <row r="187" spans="1:30">
      <c r="A187" s="387"/>
      <c r="B187" s="387"/>
      <c r="C187" s="387"/>
      <c r="D187" s="387"/>
      <c r="E187" s="387"/>
      <c r="F187" s="387"/>
      <c r="G187" s="387"/>
      <c r="H187" s="387"/>
      <c r="I187" s="387"/>
      <c r="J187" s="387"/>
      <c r="K187" s="387"/>
      <c r="L187" s="387"/>
      <c r="M187" s="387"/>
      <c r="N187" s="387"/>
      <c r="O187" s="387"/>
      <c r="P187" s="387"/>
      <c r="Q187" s="387"/>
      <c r="R187" s="387"/>
      <c r="S187" s="387"/>
      <c r="T187" s="387"/>
      <c r="U187" s="387"/>
      <c r="V187" s="387"/>
      <c r="W187" s="387"/>
      <c r="X187" s="387"/>
      <c r="Y187" s="387"/>
      <c r="Z187" s="387"/>
      <c r="AA187" s="387"/>
      <c r="AB187" s="387"/>
      <c r="AC187" s="387"/>
      <c r="AD187" s="387"/>
    </row>
    <row r="188" spans="1:30">
      <c r="A188" s="387"/>
      <c r="B188" s="387"/>
      <c r="C188" s="387"/>
      <c r="D188" s="387"/>
      <c r="E188" s="387"/>
      <c r="F188" s="387"/>
      <c r="G188" s="387"/>
      <c r="H188" s="387"/>
      <c r="I188" s="387"/>
      <c r="J188" s="387"/>
      <c r="K188" s="387"/>
      <c r="L188" s="387"/>
      <c r="M188" s="387"/>
      <c r="N188" s="387"/>
      <c r="O188" s="387"/>
      <c r="P188" s="387"/>
      <c r="Q188" s="387"/>
      <c r="R188" s="387"/>
      <c r="S188" s="387"/>
      <c r="T188" s="387"/>
      <c r="U188" s="387"/>
      <c r="V188" s="387"/>
      <c r="W188" s="387"/>
      <c r="X188" s="387"/>
      <c r="Y188" s="387"/>
      <c r="Z188" s="387"/>
      <c r="AA188" s="387"/>
      <c r="AB188" s="387"/>
      <c r="AC188" s="387"/>
      <c r="AD188" s="387"/>
    </row>
    <row r="189" spans="1:30">
      <c r="A189" s="387"/>
      <c r="B189" s="387"/>
      <c r="C189" s="387"/>
      <c r="D189" s="387"/>
      <c r="E189" s="387"/>
      <c r="F189" s="387"/>
      <c r="G189" s="387"/>
      <c r="H189" s="387"/>
      <c r="I189" s="387"/>
      <c r="J189" s="387"/>
      <c r="K189" s="387"/>
      <c r="L189" s="387"/>
      <c r="M189" s="387"/>
      <c r="N189" s="387"/>
      <c r="O189" s="387"/>
      <c r="P189" s="387"/>
      <c r="Q189" s="387"/>
      <c r="R189" s="387"/>
      <c r="S189" s="387"/>
      <c r="T189" s="387"/>
      <c r="U189" s="387"/>
      <c r="V189" s="387"/>
      <c r="W189" s="387"/>
      <c r="X189" s="387"/>
      <c r="Y189" s="387"/>
      <c r="Z189" s="387"/>
      <c r="AA189" s="387"/>
      <c r="AB189" s="387"/>
      <c r="AC189" s="387"/>
      <c r="AD189" s="387"/>
    </row>
    <row r="190" spans="1:30">
      <c r="A190" s="387"/>
      <c r="B190" s="387"/>
      <c r="C190" s="387"/>
      <c r="D190" s="387"/>
      <c r="E190" s="387"/>
      <c r="F190" s="387"/>
      <c r="G190" s="387"/>
      <c r="H190" s="387"/>
      <c r="I190" s="387"/>
      <c r="J190" s="387"/>
      <c r="K190" s="387"/>
      <c r="L190" s="387"/>
      <c r="M190" s="387"/>
      <c r="N190" s="387"/>
      <c r="O190" s="387"/>
      <c r="P190" s="387"/>
      <c r="Q190" s="387"/>
      <c r="R190" s="387"/>
      <c r="S190" s="387"/>
      <c r="T190" s="387"/>
      <c r="U190" s="387"/>
      <c r="V190" s="387"/>
      <c r="W190" s="387"/>
      <c r="X190" s="387"/>
      <c r="Y190" s="387"/>
      <c r="Z190" s="387"/>
      <c r="AA190" s="387"/>
      <c r="AB190" s="387"/>
      <c r="AC190" s="387"/>
      <c r="AD190" s="387"/>
    </row>
    <row r="191" spans="1:30">
      <c r="A191" s="387"/>
      <c r="B191" s="387"/>
      <c r="C191" s="387"/>
      <c r="D191" s="387"/>
      <c r="E191" s="387"/>
      <c r="F191" s="387"/>
      <c r="G191" s="387"/>
      <c r="H191" s="387"/>
      <c r="I191" s="387"/>
      <c r="J191" s="387"/>
      <c r="K191" s="387"/>
      <c r="L191" s="387"/>
      <c r="M191" s="387"/>
      <c r="N191" s="387"/>
      <c r="O191" s="387"/>
      <c r="P191" s="387"/>
      <c r="Q191" s="387"/>
      <c r="R191" s="387"/>
      <c r="S191" s="387"/>
      <c r="T191" s="387"/>
      <c r="U191" s="387"/>
      <c r="V191" s="387"/>
      <c r="W191" s="387"/>
      <c r="X191" s="387"/>
      <c r="Y191" s="387"/>
      <c r="Z191" s="387"/>
      <c r="AA191" s="387"/>
      <c r="AB191" s="387"/>
      <c r="AC191" s="387"/>
      <c r="AD191" s="387"/>
    </row>
    <row r="192" spans="1:30">
      <c r="A192" s="387"/>
      <c r="B192" s="387"/>
      <c r="C192" s="387"/>
      <c r="D192" s="387"/>
      <c r="E192" s="387"/>
      <c r="F192" s="387"/>
      <c r="G192" s="387"/>
      <c r="H192" s="387"/>
      <c r="I192" s="387"/>
      <c r="J192" s="387"/>
      <c r="K192" s="387"/>
      <c r="L192" s="387"/>
      <c r="M192" s="387"/>
      <c r="N192" s="387"/>
      <c r="O192" s="387"/>
      <c r="P192" s="387"/>
      <c r="Q192" s="387"/>
      <c r="R192" s="387"/>
      <c r="S192" s="387"/>
      <c r="T192" s="387"/>
      <c r="U192" s="387"/>
      <c r="V192" s="387"/>
      <c r="W192" s="387"/>
      <c r="X192" s="387"/>
      <c r="Y192" s="387"/>
      <c r="Z192" s="387"/>
      <c r="AA192" s="387"/>
      <c r="AB192" s="387"/>
      <c r="AC192" s="387"/>
      <c r="AD192" s="387"/>
    </row>
    <row r="193" spans="1:30">
      <c r="A193" s="387"/>
      <c r="B193" s="387"/>
      <c r="C193" s="387"/>
      <c r="D193" s="387"/>
      <c r="E193" s="387"/>
      <c r="F193" s="387"/>
      <c r="G193" s="387"/>
      <c r="H193" s="387"/>
      <c r="I193" s="387"/>
      <c r="J193" s="387"/>
      <c r="K193" s="387"/>
      <c r="L193" s="387"/>
      <c r="M193" s="387"/>
      <c r="N193" s="387"/>
      <c r="O193" s="387"/>
      <c r="P193" s="387"/>
      <c r="Q193" s="387"/>
      <c r="R193" s="387"/>
      <c r="S193" s="387"/>
      <c r="T193" s="387"/>
      <c r="U193" s="387"/>
      <c r="V193" s="387"/>
      <c r="W193" s="387"/>
      <c r="X193" s="387"/>
      <c r="Y193" s="387"/>
      <c r="Z193" s="387"/>
      <c r="AA193" s="387"/>
      <c r="AB193" s="387"/>
      <c r="AC193" s="387"/>
      <c r="AD193" s="387"/>
    </row>
    <row r="194" spans="1:30">
      <c r="A194" s="387"/>
      <c r="B194" s="387"/>
      <c r="C194" s="387"/>
      <c r="D194" s="387"/>
      <c r="E194" s="387"/>
      <c r="F194" s="387"/>
      <c r="G194" s="387"/>
      <c r="H194" s="387"/>
      <c r="I194" s="387"/>
      <c r="J194" s="387"/>
      <c r="K194" s="387"/>
      <c r="L194" s="387"/>
      <c r="M194" s="387"/>
      <c r="N194" s="387"/>
      <c r="O194" s="387"/>
      <c r="P194" s="387"/>
      <c r="Q194" s="387"/>
      <c r="R194" s="387"/>
      <c r="S194" s="387"/>
      <c r="T194" s="387"/>
      <c r="U194" s="387"/>
      <c r="V194" s="387"/>
      <c r="W194" s="387"/>
      <c r="X194" s="387"/>
      <c r="Y194" s="387"/>
      <c r="Z194" s="387"/>
      <c r="AA194" s="387"/>
      <c r="AB194" s="387"/>
      <c r="AC194" s="387"/>
      <c r="AD194" s="387"/>
    </row>
    <row r="195" spans="1:30">
      <c r="A195" s="387"/>
      <c r="B195" s="387"/>
      <c r="C195" s="387"/>
      <c r="D195" s="387"/>
      <c r="E195" s="387"/>
      <c r="F195" s="387"/>
      <c r="G195" s="387"/>
      <c r="H195" s="387"/>
      <c r="I195" s="387"/>
      <c r="J195" s="387"/>
      <c r="K195" s="387"/>
      <c r="L195" s="387"/>
      <c r="M195" s="387"/>
      <c r="N195" s="387"/>
      <c r="O195" s="387"/>
      <c r="P195" s="387"/>
      <c r="Q195" s="387"/>
      <c r="R195" s="387"/>
      <c r="S195" s="387"/>
      <c r="T195" s="387"/>
      <c r="U195" s="387"/>
      <c r="V195" s="387"/>
      <c r="W195" s="387"/>
      <c r="X195" s="387"/>
      <c r="Y195" s="387"/>
      <c r="Z195" s="387"/>
      <c r="AA195" s="387"/>
      <c r="AB195" s="387"/>
      <c r="AC195" s="387"/>
      <c r="AD195" s="387"/>
    </row>
    <row r="196" spans="1:30">
      <c r="A196" s="387"/>
      <c r="B196" s="387"/>
      <c r="C196" s="387"/>
      <c r="D196" s="387"/>
      <c r="E196" s="387"/>
      <c r="F196" s="387"/>
      <c r="G196" s="387"/>
      <c r="H196" s="387"/>
      <c r="I196" s="387"/>
      <c r="J196" s="387"/>
      <c r="K196" s="387"/>
      <c r="L196" s="387"/>
      <c r="M196" s="387"/>
      <c r="N196" s="387"/>
      <c r="O196" s="387"/>
      <c r="P196" s="387"/>
      <c r="Q196" s="387"/>
      <c r="R196" s="387"/>
      <c r="S196" s="387"/>
      <c r="T196" s="387"/>
      <c r="U196" s="387"/>
      <c r="V196" s="387"/>
      <c r="W196" s="387"/>
      <c r="X196" s="387"/>
      <c r="Y196" s="387"/>
      <c r="Z196" s="387"/>
      <c r="AA196" s="387"/>
      <c r="AB196" s="387"/>
      <c r="AC196" s="387"/>
      <c r="AD196" s="387"/>
    </row>
    <row r="197" spans="1:30">
      <c r="A197" s="387"/>
      <c r="B197" s="387"/>
      <c r="C197" s="387"/>
      <c r="D197" s="387"/>
      <c r="E197" s="387"/>
      <c r="F197" s="387"/>
      <c r="G197" s="387"/>
      <c r="H197" s="387"/>
      <c r="I197" s="387"/>
      <c r="J197" s="387"/>
      <c r="K197" s="387"/>
      <c r="L197" s="387"/>
      <c r="M197" s="387"/>
      <c r="N197" s="387"/>
      <c r="O197" s="387"/>
      <c r="P197" s="387"/>
      <c r="Q197" s="387"/>
      <c r="R197" s="387"/>
      <c r="S197" s="387"/>
      <c r="T197" s="387"/>
      <c r="U197" s="387"/>
      <c r="V197" s="387"/>
      <c r="W197" s="387"/>
      <c r="X197" s="387"/>
      <c r="Y197" s="387"/>
      <c r="Z197" s="387"/>
      <c r="AA197" s="387"/>
      <c r="AB197" s="387"/>
      <c r="AC197" s="387"/>
      <c r="AD197" s="387"/>
    </row>
    <row r="198" spans="1:30">
      <c r="A198" s="387"/>
      <c r="B198" s="387"/>
      <c r="C198" s="387"/>
      <c r="D198" s="387"/>
      <c r="E198" s="387"/>
      <c r="F198" s="387"/>
      <c r="G198" s="387"/>
      <c r="H198" s="387"/>
      <c r="I198" s="387"/>
      <c r="J198" s="387"/>
      <c r="K198" s="387"/>
      <c r="L198" s="387"/>
      <c r="M198" s="387"/>
      <c r="N198" s="387"/>
      <c r="O198" s="387"/>
      <c r="P198" s="387"/>
      <c r="Q198" s="387"/>
      <c r="R198" s="387"/>
      <c r="S198" s="387"/>
      <c r="T198" s="387"/>
      <c r="U198" s="387"/>
      <c r="V198" s="387"/>
      <c r="W198" s="387"/>
      <c r="X198" s="387"/>
      <c r="Y198" s="387"/>
      <c r="Z198" s="387"/>
      <c r="AA198" s="387"/>
      <c r="AB198" s="387"/>
      <c r="AC198" s="387"/>
      <c r="AD198" s="387"/>
    </row>
    <row r="199" spans="1:30">
      <c r="A199" s="387"/>
      <c r="B199" s="387"/>
      <c r="C199" s="387"/>
      <c r="D199" s="387"/>
      <c r="E199" s="387"/>
      <c r="F199" s="387"/>
      <c r="G199" s="387"/>
      <c r="H199" s="387"/>
      <c r="I199" s="387"/>
      <c r="J199" s="387"/>
      <c r="K199" s="387"/>
      <c r="L199" s="387"/>
      <c r="M199" s="387"/>
      <c r="N199" s="387"/>
      <c r="O199" s="387"/>
      <c r="P199" s="387"/>
      <c r="Q199" s="387"/>
      <c r="R199" s="387"/>
      <c r="S199" s="387"/>
      <c r="T199" s="387"/>
      <c r="U199" s="387"/>
      <c r="V199" s="387"/>
      <c r="W199" s="387"/>
      <c r="X199" s="387"/>
      <c r="Y199" s="387"/>
      <c r="Z199" s="387"/>
      <c r="AA199" s="387"/>
      <c r="AB199" s="387"/>
      <c r="AC199" s="387"/>
      <c r="AD199" s="387"/>
    </row>
    <row r="200" spans="1:30">
      <c r="A200" s="387"/>
      <c r="B200" s="387"/>
      <c r="C200" s="387"/>
      <c r="D200" s="387"/>
      <c r="E200" s="387"/>
      <c r="F200" s="387"/>
      <c r="G200" s="387"/>
      <c r="H200" s="387"/>
      <c r="I200" s="387"/>
      <c r="J200" s="387"/>
      <c r="K200" s="387"/>
      <c r="L200" s="387"/>
      <c r="M200" s="387"/>
      <c r="N200" s="387"/>
      <c r="O200" s="387"/>
      <c r="P200" s="387"/>
      <c r="Q200" s="387"/>
      <c r="R200" s="387"/>
      <c r="S200" s="387"/>
      <c r="T200" s="387"/>
      <c r="U200" s="387"/>
      <c r="V200" s="387"/>
      <c r="W200" s="387"/>
      <c r="X200" s="387"/>
      <c r="Y200" s="387"/>
      <c r="Z200" s="387"/>
      <c r="AA200" s="387"/>
      <c r="AB200" s="387"/>
      <c r="AC200" s="387"/>
      <c r="AD200" s="387"/>
    </row>
  </sheetData>
  <sheetProtection sheet="1"/>
  <mergeCells count="3">
    <mergeCell ref="A6:E6"/>
    <mergeCell ref="A9:E9"/>
    <mergeCell ref="A12:E12"/>
  </mergeCells>
  <pageMargins left="0.25" right="0.25" top="0.25" bottom="0.5" header="0.5" footer="0.25"/>
  <pageSetup orientation="portrait" r:id="rId1"/>
  <headerFooter alignWithMargins="0">
    <oddFooter>&amp;L&amp;"Arial,Italic"&amp;9EPA Climate Leaders Simplified GHG Emissions Calculator (Direct 1.0)&amp;R&amp;"Arial,Italic"&amp;9&amp;P of &amp;N</oddFooter>
  </headerFooter>
  <drawing r:id="rId2"/>
  <legacyDrawing r:id="rId3"/>
  <controls>
    <mc:AlternateContent xmlns:mc="http://schemas.openxmlformats.org/markup-compatibility/2006">
      <mc:Choice Requires="x14">
        <control shapeId="31745"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31745" r:id="rId4" name="CommandButton1"/>
      </mc:Fallback>
    </mc:AlternateContent>
    <mc:AlternateContent xmlns:mc="http://schemas.openxmlformats.org/markup-compatibility/2006">
      <mc:Choice Requires="x14">
        <control shapeId="31746"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31746" r:id="rId6" name="CommandButton2"/>
      </mc:Fallback>
    </mc:AlternateContent>
  </control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AE198"/>
  <sheetViews>
    <sheetView zoomScaleNormal="100" workbookViewId="0">
      <pane ySplit="4" topLeftCell="A8" activePane="bottomLeft" state="frozen"/>
      <selection pane="bottomLeft"/>
    </sheetView>
  </sheetViews>
  <sheetFormatPr defaultRowHeight="12.75"/>
  <cols>
    <col min="1" max="1" width="9.7109375" customWidth="1"/>
    <col min="2" max="2" width="33.7109375" customWidth="1"/>
    <col min="3" max="3" width="18.7109375" customWidth="1"/>
    <col min="4" max="4" width="25" customWidth="1"/>
    <col min="5" max="5" width="15.7109375" customWidth="1"/>
    <col min="6" max="6" width="13.85546875" customWidth="1"/>
    <col min="7" max="7" width="11.28515625" bestFit="1" customWidth="1"/>
    <col min="21" max="21" width="0" hidden="1" customWidth="1"/>
  </cols>
  <sheetData>
    <row r="1" spans="1:31"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c r="AE1" s="230"/>
    </row>
    <row r="2" spans="1:31"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c r="AE2" s="230"/>
    </row>
    <row r="3" spans="1:31" ht="15">
      <c r="A3" s="11" t="s">
        <v>910</v>
      </c>
      <c r="B3" s="10"/>
      <c r="C3" s="10"/>
      <c r="D3" s="10"/>
      <c r="E3" s="1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c r="AE3" s="230"/>
    </row>
    <row r="4" spans="1:31">
      <c r="A4" s="10"/>
      <c r="B4" s="10"/>
      <c r="C4" s="10"/>
      <c r="D4" s="10"/>
      <c r="E4" s="1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c r="AE4" s="230"/>
    </row>
    <row r="5" spans="1:31">
      <c r="A5" s="13" t="s">
        <v>346</v>
      </c>
      <c r="B5" s="10"/>
      <c r="C5" s="10"/>
      <c r="D5" s="10"/>
      <c r="E5" s="1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c r="AE5" s="230"/>
    </row>
    <row r="6" spans="1:31" ht="25.5" customHeight="1">
      <c r="A6" s="1201" t="s">
        <v>783</v>
      </c>
      <c r="B6" s="1202"/>
      <c r="C6" s="1202"/>
      <c r="D6" s="1202"/>
      <c r="E6" s="1202"/>
      <c r="F6" s="230"/>
      <c r="G6" s="230"/>
      <c r="H6" s="230"/>
      <c r="I6" s="230"/>
      <c r="J6" s="230"/>
      <c r="K6" s="230"/>
      <c r="L6" s="230"/>
      <c r="M6" s="230"/>
      <c r="N6" s="230"/>
      <c r="O6" s="230"/>
      <c r="P6" s="230"/>
      <c r="Q6" s="230"/>
      <c r="R6" s="230"/>
      <c r="S6" s="230"/>
      <c r="T6" s="230"/>
      <c r="U6" s="230"/>
      <c r="V6" s="230"/>
      <c r="W6" s="230"/>
      <c r="X6" s="230"/>
      <c r="Y6" s="230"/>
      <c r="Z6" s="230"/>
      <c r="AA6" s="230"/>
      <c r="AB6" s="230"/>
      <c r="AC6" s="230"/>
      <c r="AD6" s="230"/>
      <c r="AE6" s="230"/>
    </row>
    <row r="7" spans="1:31">
      <c r="A7" s="890" t="s">
        <v>1158</v>
      </c>
      <c r="B7" s="10"/>
      <c r="C7" s="10"/>
      <c r="D7" s="10"/>
      <c r="E7" s="10"/>
      <c r="F7" s="230"/>
      <c r="G7" s="230"/>
      <c r="H7" s="230"/>
      <c r="I7" s="230"/>
      <c r="J7" s="230"/>
      <c r="K7" s="230"/>
      <c r="L7" s="230"/>
      <c r="M7" s="230"/>
      <c r="N7" s="230"/>
      <c r="O7" s="230"/>
      <c r="P7" s="230"/>
      <c r="Q7" s="230"/>
      <c r="R7" s="230"/>
      <c r="S7" s="230"/>
      <c r="T7" s="230"/>
      <c r="U7" s="230"/>
      <c r="V7" s="230"/>
      <c r="W7" s="230"/>
      <c r="X7" s="230"/>
      <c r="Y7" s="230"/>
      <c r="Z7" s="230"/>
      <c r="AA7" s="230"/>
      <c r="AB7" s="230"/>
      <c r="AC7" s="230"/>
      <c r="AD7" s="230"/>
      <c r="AE7" s="230"/>
    </row>
    <row r="8" spans="1:31" ht="40.5" customHeight="1">
      <c r="A8" s="1199" t="s">
        <v>1159</v>
      </c>
      <c r="B8" s="1200"/>
      <c r="C8" s="1200"/>
      <c r="D8" s="1200"/>
      <c r="E8" s="1200"/>
      <c r="F8" s="230"/>
      <c r="G8" s="230"/>
      <c r="H8" s="230"/>
      <c r="I8" s="230"/>
      <c r="J8" s="230"/>
      <c r="K8" s="230"/>
      <c r="L8" s="230"/>
      <c r="M8" s="230"/>
      <c r="N8" s="230"/>
      <c r="O8" s="230"/>
      <c r="P8" s="230"/>
      <c r="Q8" s="230"/>
      <c r="R8" s="230"/>
      <c r="S8" s="230"/>
      <c r="T8" s="230"/>
      <c r="U8" s="230"/>
      <c r="V8" s="230"/>
      <c r="W8" s="230"/>
      <c r="X8" s="230"/>
      <c r="Y8" s="230"/>
      <c r="Z8" s="230"/>
      <c r="AA8" s="230"/>
      <c r="AB8" s="230"/>
      <c r="AC8" s="230"/>
      <c r="AD8" s="230"/>
      <c r="AE8" s="230"/>
    </row>
    <row r="9" spans="1:31" ht="25.5" customHeight="1">
      <c r="A9" s="1196" t="s">
        <v>779</v>
      </c>
      <c r="B9" s="1196"/>
      <c r="C9" s="1196"/>
      <c r="D9" s="1196"/>
      <c r="E9" s="1196"/>
      <c r="F9" s="1196"/>
      <c r="G9" s="1196"/>
      <c r="H9" s="230"/>
      <c r="I9" s="230"/>
      <c r="J9" s="230"/>
      <c r="K9" s="230"/>
      <c r="L9" s="230"/>
      <c r="M9" s="230"/>
      <c r="N9" s="230"/>
      <c r="O9" s="230"/>
      <c r="P9" s="230"/>
      <c r="Q9" s="230"/>
      <c r="R9" s="230"/>
      <c r="S9" s="230"/>
      <c r="T9" s="230"/>
      <c r="U9" s="230"/>
      <c r="V9" s="230"/>
      <c r="W9" s="230"/>
      <c r="X9" s="230"/>
      <c r="Y9" s="230"/>
      <c r="Z9" s="230"/>
      <c r="AA9" s="230"/>
      <c r="AB9" s="230"/>
      <c r="AC9" s="230"/>
      <c r="AE9" s="230"/>
    </row>
    <row r="10" spans="1:31" ht="15.75">
      <c r="A10" s="309" t="s">
        <v>778</v>
      </c>
      <c r="B10" s="10"/>
      <c r="C10" s="10"/>
      <c r="D10" s="10"/>
      <c r="E10" s="10"/>
      <c r="F10" s="230"/>
      <c r="G10" s="23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c r="AE10" s="230"/>
    </row>
    <row r="11" spans="1:31">
      <c r="A11" s="13"/>
      <c r="B11" s="10"/>
      <c r="C11" s="10"/>
      <c r="D11" s="10"/>
      <c r="E11" s="10"/>
      <c r="F11" s="230"/>
      <c r="G11" s="230"/>
      <c r="H11" s="230"/>
      <c r="I11" s="230"/>
      <c r="J11" s="230"/>
      <c r="L11" s="230"/>
      <c r="M11" s="230"/>
      <c r="N11" s="230"/>
      <c r="O11" s="230"/>
      <c r="P11" s="230"/>
      <c r="Q11" s="230"/>
      <c r="R11" s="230"/>
      <c r="S11" s="230"/>
      <c r="T11" s="230"/>
      <c r="U11" s="230"/>
      <c r="V11" s="230"/>
      <c r="W11" s="230"/>
      <c r="X11" s="230"/>
      <c r="Y11" s="230"/>
      <c r="Z11" s="230"/>
      <c r="AA11" s="230"/>
      <c r="AB11" s="230"/>
      <c r="AC11" s="230"/>
      <c r="AD11" s="230"/>
      <c r="AE11" s="230"/>
    </row>
    <row r="12" spans="1:31" ht="13.5" thickBot="1">
      <c r="A12" s="13" t="s">
        <v>188</v>
      </c>
      <c r="B12" s="10"/>
      <c r="C12" s="10"/>
      <c r="D12" s="10"/>
      <c r="E12" s="1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row>
    <row r="13" spans="1:31">
      <c r="A13" s="20" t="s">
        <v>163</v>
      </c>
      <c r="B13" s="21" t="s">
        <v>163</v>
      </c>
      <c r="C13" s="21" t="s">
        <v>163</v>
      </c>
      <c r="D13" s="21" t="s">
        <v>164</v>
      </c>
      <c r="E13" s="21" t="s">
        <v>165</v>
      </c>
      <c r="F13" s="1194" t="s">
        <v>169</v>
      </c>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row>
    <row r="14" spans="1:31" ht="13.5" thickBot="1">
      <c r="A14" s="23" t="s">
        <v>166</v>
      </c>
      <c r="B14" s="24" t="s">
        <v>167</v>
      </c>
      <c r="C14" s="24" t="s">
        <v>780</v>
      </c>
      <c r="D14" s="24" t="s">
        <v>168</v>
      </c>
      <c r="E14" s="24" t="s">
        <v>168</v>
      </c>
      <c r="F14" s="1195"/>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c r="AE14" s="230"/>
    </row>
    <row r="15" spans="1:31">
      <c r="A15" s="641" t="s">
        <v>99</v>
      </c>
      <c r="B15" s="642" t="s">
        <v>170</v>
      </c>
      <c r="C15" s="679">
        <v>12517</v>
      </c>
      <c r="D15" s="642" t="s">
        <v>176</v>
      </c>
      <c r="E15" s="643">
        <v>10000</v>
      </c>
      <c r="F15" s="646" t="s">
        <v>1155</v>
      </c>
      <c r="G15" s="230"/>
      <c r="H15" s="230"/>
      <c r="I15" s="230"/>
      <c r="J15" s="230"/>
      <c r="K15" s="230"/>
      <c r="L15" s="230"/>
      <c r="M15" s="230"/>
      <c r="N15" s="230"/>
      <c r="O15" s="230"/>
      <c r="P15" s="230"/>
      <c r="Q15" s="230"/>
      <c r="R15" s="230"/>
      <c r="S15" s="230"/>
      <c r="T15" s="230"/>
      <c r="U15" s="230" t="str">
        <f>IF(D15="","",VLOOKUP(D15,DropDown!$Q$2:$R$12,2,FALSE))</f>
        <v>Gas</v>
      </c>
      <c r="V15" s="230"/>
      <c r="W15" s="230"/>
      <c r="X15" s="230"/>
      <c r="Y15" s="230"/>
      <c r="Z15" s="230"/>
      <c r="AA15" s="230"/>
      <c r="AB15" s="230"/>
      <c r="AC15" s="230"/>
      <c r="AD15" s="230"/>
      <c r="AE15" s="230"/>
    </row>
    <row r="16" spans="1:31">
      <c r="A16" s="250"/>
      <c r="B16" s="251"/>
      <c r="C16" s="252"/>
      <c r="D16" s="251"/>
      <c r="E16" s="252"/>
      <c r="F16" s="601"/>
      <c r="G16" s="230"/>
      <c r="H16" s="230"/>
      <c r="I16" s="230"/>
      <c r="J16" s="230"/>
      <c r="K16" s="230"/>
      <c r="L16" s="230"/>
      <c r="M16" s="230"/>
      <c r="N16" s="230"/>
      <c r="O16" s="230"/>
      <c r="P16" s="230"/>
      <c r="Q16" s="230"/>
      <c r="R16" s="230"/>
      <c r="S16" s="230"/>
      <c r="T16" s="230"/>
      <c r="U16" s="230" t="str">
        <f>IF(D16="","",VLOOKUP(D16,DropDown!$Q$2:$R$12,2,FALSE))</f>
        <v/>
      </c>
      <c r="V16" s="230"/>
      <c r="W16" s="230"/>
      <c r="X16" s="230"/>
      <c r="Y16" s="230"/>
      <c r="Z16" s="230"/>
      <c r="AA16" s="230"/>
      <c r="AB16" s="230"/>
      <c r="AC16" s="230"/>
      <c r="AD16" s="230"/>
      <c r="AE16" s="230"/>
    </row>
    <row r="17" spans="1:31">
      <c r="A17" s="98"/>
      <c r="B17" s="38"/>
      <c r="C17" s="252"/>
      <c r="D17" s="251"/>
      <c r="E17" s="107"/>
      <c r="F17" s="181"/>
      <c r="G17" s="230"/>
      <c r="H17" s="230"/>
      <c r="I17" s="230"/>
      <c r="J17" s="230"/>
      <c r="K17" s="230"/>
      <c r="L17" s="230"/>
      <c r="M17" s="230"/>
      <c r="N17" s="230"/>
      <c r="O17" s="230"/>
      <c r="P17" s="230"/>
      <c r="Q17" s="230"/>
      <c r="R17" s="230"/>
      <c r="S17" s="230"/>
      <c r="T17" s="230"/>
      <c r="U17" s="230" t="str">
        <f>IF(D17="","",VLOOKUP(D17,DropDown!$Q$2:$R$12,2,FALSE))</f>
        <v/>
      </c>
      <c r="V17" s="230"/>
      <c r="W17" s="230"/>
      <c r="X17" s="230"/>
      <c r="Y17" s="230"/>
      <c r="Z17" s="230"/>
      <c r="AA17" s="230"/>
      <c r="AB17" s="230"/>
      <c r="AC17" s="230"/>
      <c r="AD17" s="230"/>
      <c r="AE17" s="230"/>
    </row>
    <row r="18" spans="1:31">
      <c r="A18" s="98"/>
      <c r="B18" s="38"/>
      <c r="C18" s="252"/>
      <c r="D18" s="251"/>
      <c r="E18" s="107"/>
      <c r="F18" s="181"/>
      <c r="G18" s="230"/>
      <c r="H18" s="230"/>
      <c r="I18" s="230"/>
      <c r="J18" s="230"/>
      <c r="K18" s="230"/>
      <c r="L18" s="230"/>
      <c r="M18" s="230"/>
      <c r="N18" s="230"/>
      <c r="O18" s="230"/>
      <c r="P18" s="230"/>
      <c r="Q18" s="230"/>
      <c r="R18" s="230"/>
      <c r="S18" s="230"/>
      <c r="T18" s="230"/>
      <c r="U18" s="230" t="str">
        <f>IF(D18="","",VLOOKUP(D18,DropDown!$Q$2:$R$12,2,FALSE))</f>
        <v/>
      </c>
      <c r="V18" s="230"/>
      <c r="W18" s="230"/>
      <c r="X18" s="230"/>
      <c r="Y18" s="230"/>
      <c r="Z18" s="230"/>
      <c r="AA18" s="230"/>
      <c r="AB18" s="230"/>
      <c r="AC18" s="230"/>
      <c r="AD18" s="230"/>
      <c r="AE18" s="230"/>
    </row>
    <row r="19" spans="1:31">
      <c r="A19" s="98"/>
      <c r="B19" s="38"/>
      <c r="C19" s="252"/>
      <c r="D19" s="251"/>
      <c r="E19" s="107"/>
      <c r="F19" s="889"/>
      <c r="G19" s="230"/>
      <c r="H19" s="230"/>
      <c r="I19" s="230"/>
      <c r="J19" s="230"/>
      <c r="K19" s="230"/>
      <c r="L19" s="230"/>
      <c r="M19" s="230"/>
      <c r="N19" s="230"/>
      <c r="O19" s="230"/>
      <c r="P19" s="230"/>
      <c r="Q19" s="230"/>
      <c r="R19" s="230"/>
      <c r="S19" s="230"/>
      <c r="T19" s="230"/>
      <c r="U19" s="230" t="str">
        <f>IF(D19="","",VLOOKUP(D19,DropDown!$Q$2:$R$12,2,FALSE))</f>
        <v/>
      </c>
      <c r="V19" s="230"/>
      <c r="W19" s="230"/>
      <c r="X19" s="230"/>
      <c r="Y19" s="230"/>
      <c r="Z19" s="230"/>
      <c r="AA19" s="230"/>
      <c r="AB19" s="230"/>
      <c r="AC19" s="230"/>
      <c r="AD19" s="230"/>
      <c r="AE19" s="230"/>
    </row>
    <row r="20" spans="1:31">
      <c r="A20" s="98"/>
      <c r="B20" s="38"/>
      <c r="C20" s="252"/>
      <c r="D20" s="251"/>
      <c r="E20" s="107"/>
      <c r="F20" s="889"/>
      <c r="G20" s="230"/>
      <c r="H20" s="230"/>
      <c r="I20" s="230"/>
      <c r="J20" s="230"/>
      <c r="K20" s="230"/>
      <c r="L20" s="230"/>
      <c r="M20" s="230"/>
      <c r="N20" s="230"/>
      <c r="O20" s="230"/>
      <c r="P20" s="230"/>
      <c r="Q20" s="230"/>
      <c r="R20" s="230"/>
      <c r="S20" s="230"/>
      <c r="T20" s="230"/>
      <c r="U20" s="230" t="str">
        <f>IF(D20="","",VLOOKUP(D20,DropDown!$Q$2:$R$12,2,FALSE))</f>
        <v/>
      </c>
      <c r="V20" s="230"/>
      <c r="W20" s="230"/>
      <c r="X20" s="230"/>
      <c r="Y20" s="230"/>
      <c r="Z20" s="230"/>
      <c r="AA20" s="230"/>
      <c r="AB20" s="230"/>
      <c r="AC20" s="230"/>
      <c r="AD20" s="230"/>
      <c r="AE20" s="230"/>
    </row>
    <row r="21" spans="1:31">
      <c r="A21" s="98"/>
      <c r="B21" s="38"/>
      <c r="C21" s="252"/>
      <c r="D21" s="251"/>
      <c r="E21" s="107"/>
      <c r="F21" s="181"/>
      <c r="G21" s="230"/>
      <c r="H21" s="257"/>
      <c r="I21" s="230"/>
      <c r="J21" s="230"/>
      <c r="K21" s="230"/>
      <c r="L21" s="230"/>
      <c r="M21" s="230"/>
      <c r="N21" s="230"/>
      <c r="O21" s="230"/>
      <c r="P21" s="230"/>
      <c r="Q21" s="230"/>
      <c r="R21" s="230"/>
      <c r="S21" s="230"/>
      <c r="T21" s="230"/>
      <c r="U21" s="230" t="str">
        <f>IF(D21="","",VLOOKUP(D21,DropDown!$Q$2:$R$12,2,FALSE))</f>
        <v/>
      </c>
      <c r="V21" s="230"/>
      <c r="W21" s="230"/>
      <c r="X21" s="230"/>
      <c r="Y21" s="230"/>
      <c r="Z21" s="230"/>
      <c r="AA21" s="230"/>
      <c r="AB21" s="230"/>
      <c r="AC21" s="230"/>
      <c r="AD21" s="230"/>
      <c r="AE21" s="230"/>
    </row>
    <row r="22" spans="1:31">
      <c r="A22" s="98"/>
      <c r="B22" s="38"/>
      <c r="C22" s="252"/>
      <c r="D22" s="251"/>
      <c r="E22" s="107"/>
      <c r="F22" s="181"/>
      <c r="G22" s="230"/>
      <c r="H22" s="257"/>
      <c r="I22" s="257"/>
      <c r="J22" s="257"/>
      <c r="K22" s="230"/>
      <c r="L22" s="230"/>
      <c r="M22" s="230"/>
      <c r="N22" s="230"/>
      <c r="O22" s="230"/>
      <c r="P22" s="230"/>
      <c r="Q22" s="230"/>
      <c r="R22" s="230"/>
      <c r="S22" s="230"/>
      <c r="T22" s="230"/>
      <c r="U22" s="230" t="str">
        <f>IF(D22="","",VLOOKUP(D22,DropDown!$Q$2:$R$12,2,FALSE))</f>
        <v/>
      </c>
      <c r="V22" s="230"/>
      <c r="W22" s="230"/>
      <c r="X22" s="230"/>
      <c r="Y22" s="230"/>
      <c r="Z22" s="230"/>
      <c r="AA22" s="230"/>
      <c r="AB22" s="230"/>
      <c r="AC22" s="230"/>
      <c r="AD22" s="230"/>
      <c r="AE22" s="230"/>
    </row>
    <row r="23" spans="1:31">
      <c r="A23" s="98"/>
      <c r="B23" s="38"/>
      <c r="C23" s="252"/>
      <c r="D23" s="251"/>
      <c r="E23" s="107"/>
      <c r="F23" s="181"/>
      <c r="G23" s="230"/>
      <c r="H23" s="257"/>
      <c r="I23" s="257"/>
      <c r="J23" s="257"/>
      <c r="K23" s="230"/>
      <c r="L23" s="230"/>
      <c r="M23" s="230"/>
      <c r="N23" s="230"/>
      <c r="O23" s="230"/>
      <c r="P23" s="230"/>
      <c r="Q23" s="230"/>
      <c r="R23" s="230"/>
      <c r="S23" s="230"/>
      <c r="T23" s="230"/>
      <c r="U23" s="230" t="str">
        <f>IF(D23="","",VLOOKUP(D23,DropDown!$Q$2:$R$12,2,FALSE))</f>
        <v/>
      </c>
      <c r="V23" s="230"/>
      <c r="W23" s="230"/>
      <c r="X23" s="230"/>
      <c r="Y23" s="230"/>
      <c r="Z23" s="230"/>
      <c r="AA23" s="230"/>
      <c r="AB23" s="230"/>
      <c r="AC23" s="230"/>
      <c r="AD23" s="230"/>
      <c r="AE23" s="230"/>
    </row>
    <row r="24" spans="1:31">
      <c r="A24" s="98"/>
      <c r="B24" s="38"/>
      <c r="C24" s="252"/>
      <c r="D24" s="251"/>
      <c r="E24" s="107"/>
      <c r="F24" s="181"/>
      <c r="G24" s="230"/>
      <c r="H24" s="257"/>
      <c r="I24" s="257"/>
      <c r="J24" s="257"/>
      <c r="K24" s="230"/>
      <c r="L24" s="230"/>
      <c r="M24" s="230"/>
      <c r="N24" s="230"/>
      <c r="O24" s="230"/>
      <c r="P24" s="230"/>
      <c r="Q24" s="230"/>
      <c r="R24" s="230"/>
      <c r="S24" s="230"/>
      <c r="T24" s="230"/>
      <c r="U24" s="230" t="str">
        <f>IF(D24="","",VLOOKUP(D24,DropDown!$Q$2:$R$12,2,FALSE))</f>
        <v/>
      </c>
      <c r="V24" s="230"/>
      <c r="W24" s="230"/>
      <c r="X24" s="230"/>
      <c r="Y24" s="230"/>
      <c r="Z24" s="230"/>
      <c r="AA24" s="230"/>
      <c r="AB24" s="230"/>
      <c r="AC24" s="230"/>
      <c r="AD24" s="230"/>
      <c r="AE24" s="230"/>
    </row>
    <row r="25" spans="1:31">
      <c r="A25" s="98"/>
      <c r="B25" s="38"/>
      <c r="C25" s="252"/>
      <c r="D25" s="251"/>
      <c r="E25" s="107"/>
      <c r="F25" s="181"/>
      <c r="G25" s="230"/>
      <c r="H25" s="230"/>
      <c r="I25" s="230"/>
      <c r="J25" s="230"/>
      <c r="K25" s="230"/>
      <c r="L25" s="230"/>
      <c r="M25" s="230"/>
      <c r="N25" s="230"/>
      <c r="O25" s="230"/>
      <c r="P25" s="230"/>
      <c r="Q25" s="230"/>
      <c r="R25" s="230"/>
      <c r="S25" s="230"/>
      <c r="T25" s="230"/>
      <c r="U25" s="230" t="str">
        <f>IF(D25="","",VLOOKUP(D25,DropDown!$Q$2:$R$12,2,FALSE))</f>
        <v/>
      </c>
      <c r="V25" s="230"/>
      <c r="W25" s="230"/>
      <c r="X25" s="230"/>
      <c r="Y25" s="230"/>
      <c r="Z25" s="230"/>
      <c r="AA25" s="230"/>
      <c r="AB25" s="230"/>
      <c r="AC25" s="230"/>
      <c r="AD25" s="230"/>
      <c r="AE25" s="230"/>
    </row>
    <row r="26" spans="1:31">
      <c r="A26" s="98"/>
      <c r="B26" s="38"/>
      <c r="C26" s="252"/>
      <c r="D26" s="251"/>
      <c r="E26" s="107"/>
      <c r="F26" s="181"/>
      <c r="G26" s="230"/>
      <c r="H26" s="230"/>
      <c r="I26" s="230"/>
      <c r="J26" s="230"/>
      <c r="K26" s="230"/>
      <c r="L26" s="230"/>
      <c r="M26" s="230"/>
      <c r="N26" s="230"/>
      <c r="O26" s="230"/>
      <c r="P26" s="230"/>
      <c r="Q26" s="230"/>
      <c r="R26" s="230"/>
      <c r="S26" s="230"/>
      <c r="T26" s="230"/>
      <c r="U26" s="230" t="str">
        <f>IF(D26="","",VLOOKUP(D26,DropDown!$Q$2:$R$12,2,FALSE))</f>
        <v/>
      </c>
      <c r="V26" s="230"/>
      <c r="W26" s="230"/>
      <c r="X26" s="230"/>
      <c r="Y26" s="230"/>
      <c r="Z26" s="230"/>
      <c r="AA26" s="230"/>
      <c r="AB26" s="230"/>
      <c r="AC26" s="230"/>
      <c r="AD26" s="230"/>
      <c r="AE26" s="230"/>
    </row>
    <row r="27" spans="1:31">
      <c r="A27" s="98"/>
      <c r="B27" s="38"/>
      <c r="C27" s="252"/>
      <c r="D27" s="251"/>
      <c r="E27" s="107"/>
      <c r="F27" s="181"/>
      <c r="G27" s="230"/>
      <c r="H27" s="230"/>
      <c r="I27" s="230"/>
      <c r="J27" s="230"/>
      <c r="K27" s="230"/>
      <c r="L27" s="230"/>
      <c r="M27" s="230"/>
      <c r="N27" s="230"/>
      <c r="O27" s="230"/>
      <c r="P27" s="230"/>
      <c r="Q27" s="230"/>
      <c r="R27" s="230"/>
      <c r="S27" s="230"/>
      <c r="T27" s="230"/>
      <c r="U27" s="230" t="str">
        <f>IF(D27="","",VLOOKUP(D27,DropDown!$Q$2:$R$12,2,FALSE))</f>
        <v/>
      </c>
      <c r="V27" s="230"/>
      <c r="W27" s="230"/>
      <c r="X27" s="230"/>
      <c r="Y27" s="230"/>
      <c r="Z27" s="230"/>
      <c r="AA27" s="230"/>
      <c r="AB27" s="230"/>
      <c r="AC27" s="230"/>
      <c r="AD27" s="230"/>
      <c r="AE27" s="230"/>
    </row>
    <row r="28" spans="1:31">
      <c r="A28" s="98"/>
      <c r="B28" s="38"/>
      <c r="C28" s="252"/>
      <c r="D28" s="251"/>
      <c r="E28" s="107"/>
      <c r="F28" s="181"/>
      <c r="G28" s="230"/>
      <c r="H28" s="230"/>
      <c r="I28" s="230"/>
      <c r="J28" s="230"/>
      <c r="K28" s="230"/>
      <c r="L28" s="230"/>
      <c r="M28" s="230"/>
      <c r="N28" s="230"/>
      <c r="O28" s="230"/>
      <c r="P28" s="230"/>
      <c r="Q28" s="230"/>
      <c r="R28" s="230"/>
      <c r="S28" s="230"/>
      <c r="T28" s="230"/>
      <c r="U28" s="230" t="str">
        <f>IF(D28="","",VLOOKUP(D28,DropDown!$Q$2:$R$12,2,FALSE))</f>
        <v/>
      </c>
      <c r="V28" s="230"/>
      <c r="W28" s="230"/>
      <c r="X28" s="230"/>
      <c r="Y28" s="230"/>
      <c r="Z28" s="230"/>
      <c r="AA28" s="230"/>
      <c r="AB28" s="230"/>
      <c r="AC28" s="230"/>
      <c r="AD28" s="230"/>
      <c r="AE28" s="230"/>
    </row>
    <row r="29" spans="1:31">
      <c r="A29" s="98"/>
      <c r="B29" s="38"/>
      <c r="C29" s="252"/>
      <c r="D29" s="251"/>
      <c r="E29" s="107"/>
      <c r="F29" s="181"/>
      <c r="G29" s="230"/>
      <c r="H29" s="230"/>
      <c r="I29" s="230"/>
      <c r="J29" s="230"/>
      <c r="K29" s="230"/>
      <c r="L29" s="230"/>
      <c r="M29" s="230"/>
      <c r="N29" s="230"/>
      <c r="O29" s="230"/>
      <c r="P29" s="230"/>
      <c r="Q29" s="230"/>
      <c r="R29" s="230"/>
      <c r="S29" s="230"/>
      <c r="T29" s="230"/>
      <c r="U29" s="230" t="str">
        <f>IF(D29="","",VLOOKUP(D29,DropDown!$Q$2:$R$12,2,FALSE))</f>
        <v/>
      </c>
      <c r="V29" s="230"/>
      <c r="W29" s="230"/>
      <c r="X29" s="230"/>
      <c r="Y29" s="230"/>
      <c r="Z29" s="230"/>
      <c r="AA29" s="230"/>
      <c r="AB29" s="230"/>
      <c r="AC29" s="230"/>
      <c r="AD29" s="230"/>
      <c r="AE29" s="230"/>
    </row>
    <row r="30" spans="1:31">
      <c r="A30" s="98"/>
      <c r="B30" s="38"/>
      <c r="C30" s="252"/>
      <c r="D30" s="251"/>
      <c r="E30" s="107"/>
      <c r="F30" s="181"/>
      <c r="G30" s="230"/>
      <c r="H30" s="230"/>
      <c r="I30" s="230"/>
      <c r="J30" s="230"/>
      <c r="K30" s="230"/>
      <c r="L30" s="230"/>
      <c r="M30" s="230"/>
      <c r="N30" s="230"/>
      <c r="O30" s="230"/>
      <c r="P30" s="230"/>
      <c r="Q30" s="230"/>
      <c r="R30" s="230"/>
      <c r="S30" s="230"/>
      <c r="T30" s="230"/>
      <c r="U30" s="230" t="str">
        <f>IF(D30="","",VLOOKUP(D30,DropDown!$Q$2:$R$12,2,FALSE))</f>
        <v/>
      </c>
      <c r="V30" s="230"/>
      <c r="W30" s="230"/>
      <c r="X30" s="230"/>
      <c r="Y30" s="230"/>
      <c r="Z30" s="230"/>
      <c r="AA30" s="230"/>
      <c r="AB30" s="230"/>
      <c r="AC30" s="230"/>
      <c r="AD30" s="230"/>
      <c r="AE30" s="230"/>
    </row>
    <row r="31" spans="1:31">
      <c r="A31" s="98"/>
      <c r="B31" s="38"/>
      <c r="C31" s="252"/>
      <c r="D31" s="251"/>
      <c r="E31" s="107"/>
      <c r="F31" s="181"/>
      <c r="G31" s="230"/>
      <c r="H31" s="230"/>
      <c r="I31" s="230"/>
      <c r="J31" s="230"/>
      <c r="K31" s="230"/>
      <c r="L31" s="230"/>
      <c r="M31" s="230"/>
      <c r="N31" s="230"/>
      <c r="O31" s="230"/>
      <c r="P31" s="230"/>
      <c r="Q31" s="230"/>
      <c r="R31" s="230"/>
      <c r="S31" s="230"/>
      <c r="T31" s="230"/>
      <c r="U31" s="230" t="str">
        <f>IF(D31="","",VLOOKUP(D31,DropDown!$Q$2:$R$12,2,FALSE))</f>
        <v/>
      </c>
      <c r="V31" s="230"/>
      <c r="W31" s="230"/>
      <c r="X31" s="230"/>
      <c r="Y31" s="230"/>
      <c r="Z31" s="230"/>
      <c r="AA31" s="230"/>
      <c r="AB31" s="230"/>
      <c r="AC31" s="230"/>
      <c r="AD31" s="230"/>
      <c r="AE31" s="230"/>
    </row>
    <row r="32" spans="1:31">
      <c r="A32" s="98"/>
      <c r="B32" s="38"/>
      <c r="C32" s="692"/>
      <c r="D32" s="251"/>
      <c r="E32" s="107"/>
      <c r="F32" s="181"/>
      <c r="G32" s="230"/>
      <c r="H32" s="230"/>
      <c r="I32" s="230"/>
      <c r="J32" s="230"/>
      <c r="K32" s="230"/>
      <c r="L32" s="230"/>
      <c r="M32" s="230"/>
      <c r="N32" s="230"/>
      <c r="O32" s="230"/>
      <c r="P32" s="230"/>
      <c r="Q32" s="230"/>
      <c r="R32" s="230"/>
      <c r="S32" s="230"/>
      <c r="T32" s="230"/>
      <c r="U32" s="230" t="str">
        <f>IF(D32="","",VLOOKUP(D32,DropDown!$Q$2:$R$12,2,FALSE))</f>
        <v/>
      </c>
      <c r="V32" s="230"/>
      <c r="W32" s="230"/>
      <c r="X32" s="230"/>
      <c r="Y32" s="230"/>
      <c r="Z32" s="230"/>
      <c r="AA32" s="230"/>
      <c r="AB32" s="230"/>
      <c r="AC32" s="230"/>
      <c r="AD32" s="230"/>
      <c r="AE32" s="230"/>
    </row>
    <row r="33" spans="1:31">
      <c r="A33" s="98"/>
      <c r="B33" s="38"/>
      <c r="C33" s="252"/>
      <c r="D33" s="251"/>
      <c r="E33" s="107"/>
      <c r="F33" s="181"/>
      <c r="G33" s="230"/>
      <c r="H33" s="230"/>
      <c r="I33" s="230"/>
      <c r="J33" s="230"/>
      <c r="K33" s="230"/>
      <c r="L33" s="230"/>
      <c r="M33" s="230"/>
      <c r="N33" s="230"/>
      <c r="O33" s="230"/>
      <c r="P33" s="230"/>
      <c r="Q33" s="230"/>
      <c r="R33" s="230"/>
      <c r="S33" s="230"/>
      <c r="T33" s="230"/>
      <c r="U33" s="230" t="str">
        <f>IF(D33="","",VLOOKUP(D33,DropDown!$Q$2:$R$12,2,FALSE))</f>
        <v/>
      </c>
      <c r="V33" s="230"/>
      <c r="W33" s="230"/>
      <c r="X33" s="230"/>
      <c r="Y33" s="230"/>
      <c r="Z33" s="230"/>
      <c r="AA33" s="230"/>
      <c r="AB33" s="230"/>
      <c r="AC33" s="230"/>
      <c r="AD33" s="230"/>
      <c r="AE33" s="230"/>
    </row>
    <row r="34" spans="1:31">
      <c r="A34" s="98"/>
      <c r="B34" s="38"/>
      <c r="C34" s="252"/>
      <c r="D34" s="251"/>
      <c r="E34" s="107"/>
      <c r="F34" s="181"/>
      <c r="G34" s="230"/>
      <c r="H34" s="230"/>
      <c r="I34" s="230"/>
      <c r="J34" s="230"/>
      <c r="K34" s="230"/>
      <c r="L34" s="230"/>
      <c r="M34" s="230"/>
      <c r="N34" s="230"/>
      <c r="O34" s="230"/>
      <c r="P34" s="230"/>
      <c r="Q34" s="230"/>
      <c r="R34" s="230"/>
      <c r="S34" s="230"/>
      <c r="T34" s="230"/>
      <c r="U34" s="230" t="str">
        <f>IF(D34="","",VLOOKUP(D34,DropDown!$Q$2:$R$12,2,FALSE))</f>
        <v/>
      </c>
      <c r="V34" s="230"/>
      <c r="W34" s="230"/>
      <c r="X34" s="230"/>
      <c r="Y34" s="230"/>
      <c r="Z34" s="230"/>
      <c r="AA34" s="230"/>
      <c r="AB34" s="230"/>
      <c r="AC34" s="230"/>
      <c r="AD34" s="230"/>
      <c r="AE34" s="230"/>
    </row>
    <row r="35" spans="1:31">
      <c r="A35" s="98"/>
      <c r="B35" s="38"/>
      <c r="C35" s="252"/>
      <c r="D35" s="251"/>
      <c r="E35" s="107"/>
      <c r="F35" s="181"/>
      <c r="G35" s="230"/>
      <c r="H35" s="230"/>
      <c r="I35" s="230"/>
      <c r="J35" s="230"/>
      <c r="K35" s="230"/>
      <c r="L35" s="230"/>
      <c r="M35" s="230"/>
      <c r="N35" s="230"/>
      <c r="O35" s="230"/>
      <c r="P35" s="230"/>
      <c r="Q35" s="230"/>
      <c r="R35" s="230"/>
      <c r="S35" s="230"/>
      <c r="T35" s="230"/>
      <c r="U35" s="230" t="str">
        <f>IF(D35="","",VLOOKUP(D35,DropDown!$Q$2:$R$12,2,FALSE))</f>
        <v/>
      </c>
      <c r="V35" s="230"/>
      <c r="W35" s="230"/>
      <c r="X35" s="230"/>
      <c r="Y35" s="230"/>
      <c r="Z35" s="230"/>
      <c r="AA35" s="230"/>
      <c r="AB35" s="230"/>
      <c r="AC35" s="230"/>
      <c r="AD35" s="230"/>
      <c r="AE35" s="230"/>
    </row>
    <row r="36" spans="1:31">
      <c r="A36" s="98"/>
      <c r="B36" s="38"/>
      <c r="C36" s="252"/>
      <c r="D36" s="251"/>
      <c r="E36" s="107"/>
      <c r="F36" s="181"/>
      <c r="G36" s="230"/>
      <c r="H36" s="230"/>
      <c r="I36" s="230"/>
      <c r="J36" s="230"/>
      <c r="K36" s="230"/>
      <c r="L36" s="230"/>
      <c r="M36" s="230"/>
      <c r="N36" s="230"/>
      <c r="O36" s="230"/>
      <c r="P36" s="230"/>
      <c r="Q36" s="230"/>
      <c r="R36" s="230"/>
      <c r="S36" s="230"/>
      <c r="T36" s="230"/>
      <c r="U36" s="230" t="str">
        <f>IF(D36="","",VLOOKUP(D36,DropDown!$Q$2:$R$12,2,FALSE))</f>
        <v/>
      </c>
      <c r="V36" s="230"/>
      <c r="W36" s="230"/>
      <c r="X36" s="230"/>
      <c r="Y36" s="230"/>
      <c r="Z36" s="230"/>
      <c r="AA36" s="230"/>
      <c r="AB36" s="230"/>
      <c r="AC36" s="230"/>
      <c r="AD36" s="230"/>
      <c r="AE36" s="230"/>
    </row>
    <row r="37" spans="1:31">
      <c r="A37" s="98"/>
      <c r="B37" s="38"/>
      <c r="C37" s="252"/>
      <c r="D37" s="251"/>
      <c r="E37" s="107"/>
      <c r="F37" s="181"/>
      <c r="G37" s="230"/>
      <c r="H37" s="230"/>
      <c r="I37" s="230"/>
      <c r="J37" s="230"/>
      <c r="K37" s="230"/>
      <c r="L37" s="230"/>
      <c r="M37" s="230"/>
      <c r="N37" s="230"/>
      <c r="O37" s="230"/>
      <c r="P37" s="230"/>
      <c r="Q37" s="230"/>
      <c r="R37" s="230"/>
      <c r="S37" s="230"/>
      <c r="T37" s="230"/>
      <c r="U37" s="230" t="str">
        <f>IF(D37="","",VLOOKUP(D37,DropDown!$Q$2:$R$12,2,FALSE))</f>
        <v/>
      </c>
      <c r="V37" s="230"/>
      <c r="W37" s="230"/>
      <c r="X37" s="230"/>
      <c r="Y37" s="230"/>
      <c r="Z37" s="230"/>
      <c r="AA37" s="230"/>
      <c r="AB37" s="230"/>
      <c r="AC37" s="230"/>
      <c r="AD37" s="230"/>
      <c r="AE37" s="230"/>
    </row>
    <row r="38" spans="1:31">
      <c r="A38" s="98"/>
      <c r="B38" s="38"/>
      <c r="C38" s="252"/>
      <c r="D38" s="251"/>
      <c r="E38" s="107"/>
      <c r="F38" s="181"/>
      <c r="G38" s="230"/>
      <c r="H38" s="230"/>
      <c r="I38" s="230"/>
      <c r="J38" s="230"/>
      <c r="K38" s="230"/>
      <c r="L38" s="230"/>
      <c r="M38" s="230"/>
      <c r="N38" s="230"/>
      <c r="O38" s="230"/>
      <c r="P38" s="230"/>
      <c r="Q38" s="230"/>
      <c r="R38" s="230"/>
      <c r="S38" s="230"/>
      <c r="T38" s="230"/>
      <c r="U38" s="230" t="str">
        <f>IF(D38="","",VLOOKUP(D38,DropDown!$Q$2:$R$12,2,FALSE))</f>
        <v/>
      </c>
      <c r="V38" s="230"/>
      <c r="W38" s="230"/>
      <c r="X38" s="230"/>
      <c r="Y38" s="230"/>
      <c r="Z38" s="230"/>
      <c r="AA38" s="230"/>
      <c r="AB38" s="230"/>
      <c r="AC38" s="230"/>
      <c r="AD38" s="230"/>
      <c r="AE38" s="230"/>
    </row>
    <row r="39" spans="1:31">
      <c r="A39" s="98"/>
      <c r="B39" s="38"/>
      <c r="C39" s="252"/>
      <c r="D39" s="251"/>
      <c r="E39" s="107"/>
      <c r="F39" s="181"/>
      <c r="G39" s="230"/>
      <c r="H39" s="230"/>
      <c r="I39" s="230"/>
      <c r="J39" s="230"/>
      <c r="K39" s="230"/>
      <c r="L39" s="230"/>
      <c r="M39" s="230"/>
      <c r="N39" s="230"/>
      <c r="O39" s="230"/>
      <c r="P39" s="230"/>
      <c r="Q39" s="230"/>
      <c r="R39" s="230"/>
      <c r="S39" s="230"/>
      <c r="T39" s="230"/>
      <c r="U39" s="230" t="str">
        <f>IF(D39="","",VLOOKUP(D39,DropDown!$Q$2:$R$12,2,FALSE))</f>
        <v/>
      </c>
      <c r="V39" s="230"/>
      <c r="W39" s="230"/>
      <c r="X39" s="230"/>
      <c r="Y39" s="230"/>
      <c r="Z39" s="230"/>
      <c r="AA39" s="230"/>
      <c r="AB39" s="230"/>
      <c r="AC39" s="230"/>
      <c r="AD39" s="230"/>
      <c r="AE39" s="230"/>
    </row>
    <row r="40" spans="1:31">
      <c r="A40" s="98"/>
      <c r="B40" s="38"/>
      <c r="C40" s="252"/>
      <c r="D40" s="251"/>
      <c r="E40" s="107"/>
      <c r="F40" s="181"/>
      <c r="G40" s="230"/>
      <c r="H40" s="230"/>
      <c r="I40" s="230"/>
      <c r="J40" s="230"/>
      <c r="K40" s="230"/>
      <c r="L40" s="230"/>
      <c r="M40" s="230"/>
      <c r="N40" s="230"/>
      <c r="O40" s="230"/>
      <c r="P40" s="230"/>
      <c r="Q40" s="230"/>
      <c r="R40" s="230"/>
      <c r="S40" s="230"/>
      <c r="T40" s="230"/>
      <c r="U40" s="230" t="str">
        <f>IF(D40="","",VLOOKUP(D40,DropDown!$Q$2:$R$12,2,FALSE))</f>
        <v/>
      </c>
      <c r="V40" s="230"/>
      <c r="W40" s="230"/>
      <c r="X40" s="230"/>
      <c r="Y40" s="230"/>
      <c r="Z40" s="230"/>
      <c r="AA40" s="230"/>
      <c r="AB40" s="230"/>
      <c r="AC40" s="230"/>
      <c r="AD40" s="230"/>
      <c r="AE40" s="230"/>
    </row>
    <row r="41" spans="1:31">
      <c r="A41" s="98"/>
      <c r="B41" s="38"/>
      <c r="C41" s="252"/>
      <c r="D41" s="251"/>
      <c r="E41" s="107"/>
      <c r="F41" s="181"/>
      <c r="G41" s="230"/>
      <c r="H41" s="230"/>
      <c r="I41" s="230"/>
      <c r="J41" s="230"/>
      <c r="K41" s="230"/>
      <c r="L41" s="230"/>
      <c r="M41" s="230"/>
      <c r="N41" s="230"/>
      <c r="O41" s="230"/>
      <c r="P41" s="230"/>
      <c r="Q41" s="230"/>
      <c r="R41" s="230"/>
      <c r="S41" s="230"/>
      <c r="T41" s="230"/>
      <c r="U41" s="230" t="str">
        <f>IF(D41="","",VLOOKUP(D41,DropDown!$Q$2:$R$12,2,FALSE))</f>
        <v/>
      </c>
      <c r="V41" s="230"/>
      <c r="W41" s="230"/>
      <c r="X41" s="230"/>
      <c r="Y41" s="230"/>
      <c r="Z41" s="230"/>
      <c r="AA41" s="230"/>
      <c r="AB41" s="230"/>
      <c r="AC41" s="230"/>
      <c r="AD41" s="230"/>
      <c r="AE41" s="230"/>
    </row>
    <row r="42" spans="1:31">
      <c r="A42" s="98"/>
      <c r="B42" s="38"/>
      <c r="C42" s="252"/>
      <c r="D42" s="251"/>
      <c r="E42" s="107"/>
      <c r="F42" s="181"/>
      <c r="G42" s="230"/>
      <c r="H42" s="230"/>
      <c r="I42" s="230"/>
      <c r="J42" s="230"/>
      <c r="K42" s="230"/>
      <c r="L42" s="230"/>
      <c r="M42" s="230"/>
      <c r="N42" s="230"/>
      <c r="O42" s="230"/>
      <c r="P42" s="230"/>
      <c r="Q42" s="230"/>
      <c r="R42" s="230"/>
      <c r="S42" s="230"/>
      <c r="T42" s="230"/>
      <c r="U42" s="230" t="str">
        <f>IF(D42="","",VLOOKUP(D42,DropDown!$Q$2:$R$12,2,FALSE))</f>
        <v/>
      </c>
      <c r="V42" s="230"/>
      <c r="W42" s="230"/>
      <c r="X42" s="230"/>
      <c r="Y42" s="230"/>
      <c r="Z42" s="230"/>
      <c r="AA42" s="230"/>
      <c r="AB42" s="230"/>
      <c r="AC42" s="230"/>
      <c r="AD42" s="230"/>
      <c r="AE42" s="230"/>
    </row>
    <row r="43" spans="1:31">
      <c r="A43" s="98"/>
      <c r="B43" s="38"/>
      <c r="C43" s="252"/>
      <c r="D43" s="251"/>
      <c r="E43" s="107"/>
      <c r="F43" s="181"/>
      <c r="G43" s="230"/>
      <c r="H43" s="230"/>
      <c r="I43" s="230"/>
      <c r="J43" s="230"/>
      <c r="K43" s="230"/>
      <c r="L43" s="230"/>
      <c r="M43" s="230"/>
      <c r="N43" s="230"/>
      <c r="O43" s="230"/>
      <c r="P43" s="230"/>
      <c r="Q43" s="230"/>
      <c r="R43" s="230"/>
      <c r="S43" s="230"/>
      <c r="T43" s="230"/>
      <c r="U43" s="230" t="str">
        <f>IF(D43="","",VLOOKUP(D43,DropDown!$Q$2:$R$12,2,FALSE))</f>
        <v/>
      </c>
      <c r="V43" s="230"/>
      <c r="W43" s="230"/>
      <c r="X43" s="230"/>
      <c r="Y43" s="230"/>
      <c r="Z43" s="230"/>
      <c r="AA43" s="230"/>
      <c r="AB43" s="230"/>
      <c r="AC43" s="230"/>
      <c r="AD43" s="230"/>
      <c r="AE43" s="230"/>
    </row>
    <row r="44" spans="1:31">
      <c r="A44" s="98"/>
      <c r="B44" s="38"/>
      <c r="C44" s="252"/>
      <c r="D44" s="251"/>
      <c r="E44" s="107"/>
      <c r="F44" s="181"/>
      <c r="G44" s="230"/>
      <c r="H44" s="230"/>
      <c r="I44" s="230"/>
      <c r="J44" s="230"/>
      <c r="K44" s="230"/>
      <c r="L44" s="230"/>
      <c r="M44" s="230"/>
      <c r="N44" s="230"/>
      <c r="O44" s="230"/>
      <c r="P44" s="230"/>
      <c r="Q44" s="230"/>
      <c r="R44" s="230"/>
      <c r="S44" s="230"/>
      <c r="T44" s="230"/>
      <c r="U44" s="230" t="str">
        <f>IF(D44="","",VLOOKUP(D44,DropDown!$Q$2:$R$12,2,FALSE))</f>
        <v/>
      </c>
      <c r="V44" s="230"/>
      <c r="W44" s="230"/>
      <c r="X44" s="230"/>
      <c r="Y44" s="230"/>
      <c r="Z44" s="230"/>
      <c r="AA44" s="230"/>
      <c r="AB44" s="230"/>
      <c r="AC44" s="230"/>
      <c r="AD44" s="230"/>
      <c r="AE44" s="230"/>
    </row>
    <row r="45" spans="1:31">
      <c r="A45" s="98"/>
      <c r="B45" s="38"/>
      <c r="C45" s="252"/>
      <c r="D45" s="251"/>
      <c r="E45" s="107"/>
      <c r="F45" s="181"/>
      <c r="G45" s="230"/>
      <c r="H45" s="230"/>
      <c r="I45" s="230"/>
      <c r="J45" s="230"/>
      <c r="K45" s="230"/>
      <c r="L45" s="230"/>
      <c r="M45" s="230"/>
      <c r="N45" s="230"/>
      <c r="O45" s="230"/>
      <c r="P45" s="230"/>
      <c r="Q45" s="230"/>
      <c r="R45" s="230"/>
      <c r="S45" s="230"/>
      <c r="T45" s="230"/>
      <c r="U45" s="230" t="str">
        <f>IF(D45="","",VLOOKUP(D45,DropDown!$Q$2:$R$12,2,FALSE))</f>
        <v/>
      </c>
      <c r="V45" s="230"/>
      <c r="W45" s="230"/>
      <c r="X45" s="230"/>
      <c r="Y45" s="230"/>
      <c r="Z45" s="230"/>
      <c r="AA45" s="230"/>
      <c r="AB45" s="230"/>
      <c r="AC45" s="230"/>
      <c r="AD45" s="230"/>
      <c r="AE45" s="230"/>
    </row>
    <row r="46" spans="1:31">
      <c r="A46" s="98"/>
      <c r="B46" s="38"/>
      <c r="C46" s="252"/>
      <c r="D46" s="251"/>
      <c r="E46" s="107"/>
      <c r="F46" s="181"/>
      <c r="G46" s="230"/>
      <c r="H46" s="230"/>
      <c r="I46" s="230"/>
      <c r="J46" s="230"/>
      <c r="K46" s="230"/>
      <c r="L46" s="230"/>
      <c r="M46" s="230"/>
      <c r="N46" s="230"/>
      <c r="O46" s="230"/>
      <c r="P46" s="230"/>
      <c r="Q46" s="230"/>
      <c r="R46" s="230"/>
      <c r="S46" s="230"/>
      <c r="T46" s="230"/>
      <c r="U46" s="230" t="str">
        <f>IF(D46="","",VLOOKUP(D46,DropDown!$Q$2:$R$12,2,FALSE))</f>
        <v/>
      </c>
      <c r="V46" s="230"/>
      <c r="W46" s="230"/>
      <c r="X46" s="230"/>
      <c r="Y46" s="230"/>
      <c r="Z46" s="230"/>
      <c r="AA46" s="230"/>
      <c r="AB46" s="230"/>
      <c r="AC46" s="230"/>
      <c r="AD46" s="230"/>
      <c r="AE46" s="230"/>
    </row>
    <row r="47" spans="1:31">
      <c r="A47" s="98"/>
      <c r="B47" s="38"/>
      <c r="C47" s="252"/>
      <c r="D47" s="251"/>
      <c r="E47" s="107"/>
      <c r="F47" s="181"/>
      <c r="G47" s="230"/>
      <c r="H47" s="230"/>
      <c r="I47" s="230"/>
      <c r="J47" s="230"/>
      <c r="K47" s="230"/>
      <c r="L47" s="230"/>
      <c r="M47" s="230"/>
      <c r="N47" s="230"/>
      <c r="O47" s="230"/>
      <c r="P47" s="230"/>
      <c r="Q47" s="230"/>
      <c r="R47" s="230"/>
      <c r="S47" s="230"/>
      <c r="T47" s="230"/>
      <c r="U47" s="230" t="str">
        <f>IF(D47="","",VLOOKUP(D47,DropDown!$Q$2:$R$12,2,FALSE))</f>
        <v/>
      </c>
      <c r="V47" s="230"/>
      <c r="W47" s="230"/>
      <c r="X47" s="230"/>
      <c r="Y47" s="230"/>
      <c r="Z47" s="230"/>
      <c r="AA47" s="230"/>
      <c r="AB47" s="230"/>
      <c r="AC47" s="230"/>
      <c r="AD47" s="230"/>
      <c r="AE47" s="230"/>
    </row>
    <row r="48" spans="1:31">
      <c r="A48" s="98"/>
      <c r="B48" s="38"/>
      <c r="C48" s="252"/>
      <c r="D48" s="251"/>
      <c r="E48" s="107"/>
      <c r="F48" s="181"/>
      <c r="G48" s="230"/>
      <c r="H48" s="230"/>
      <c r="I48" s="230"/>
      <c r="J48" s="230"/>
      <c r="K48" s="230"/>
      <c r="L48" s="230"/>
      <c r="M48" s="230"/>
      <c r="N48" s="230"/>
      <c r="O48" s="230"/>
      <c r="P48" s="230"/>
      <c r="Q48" s="230"/>
      <c r="R48" s="230"/>
      <c r="S48" s="230"/>
      <c r="T48" s="230"/>
      <c r="U48" s="230" t="str">
        <f>IF(D48="","",VLOOKUP(D48,DropDown!$Q$2:$R$12,2,FALSE))</f>
        <v/>
      </c>
      <c r="V48" s="230"/>
      <c r="W48" s="230"/>
      <c r="X48" s="230"/>
      <c r="Y48" s="230"/>
      <c r="Z48" s="230"/>
      <c r="AA48" s="230"/>
      <c r="AB48" s="230"/>
      <c r="AC48" s="230"/>
      <c r="AD48" s="230"/>
      <c r="AE48" s="230"/>
    </row>
    <row r="49" spans="1:31">
      <c r="A49" s="98"/>
      <c r="B49" s="38"/>
      <c r="C49" s="252"/>
      <c r="D49" s="251"/>
      <c r="E49" s="107"/>
      <c r="F49" s="181"/>
      <c r="G49" s="230"/>
      <c r="H49" s="230"/>
      <c r="I49" s="230"/>
      <c r="J49" s="230"/>
      <c r="K49" s="230"/>
      <c r="L49" s="230"/>
      <c r="M49" s="230"/>
      <c r="N49" s="230"/>
      <c r="O49" s="230"/>
      <c r="P49" s="230"/>
      <c r="Q49" s="230"/>
      <c r="R49" s="230"/>
      <c r="S49" s="230"/>
      <c r="T49" s="230"/>
      <c r="U49" s="230" t="str">
        <f>IF(D49="","",VLOOKUP(D49,DropDown!$Q$2:$R$12,2,FALSE))</f>
        <v/>
      </c>
      <c r="V49" s="230"/>
      <c r="W49" s="230"/>
      <c r="X49" s="230"/>
      <c r="Y49" s="230"/>
      <c r="Z49" s="230"/>
      <c r="AA49" s="230"/>
      <c r="AB49" s="230"/>
      <c r="AC49" s="230"/>
      <c r="AD49" s="230"/>
      <c r="AE49" s="230"/>
    </row>
    <row r="50" spans="1:31">
      <c r="A50" s="98"/>
      <c r="B50" s="38"/>
      <c r="C50" s="252"/>
      <c r="D50" s="251"/>
      <c r="E50" s="107"/>
      <c r="F50" s="181"/>
      <c r="G50" s="230"/>
      <c r="H50" s="230"/>
      <c r="I50" s="230"/>
      <c r="J50" s="230"/>
      <c r="K50" s="230"/>
      <c r="L50" s="230"/>
      <c r="M50" s="230"/>
      <c r="N50" s="230"/>
      <c r="O50" s="230"/>
      <c r="P50" s="230"/>
      <c r="Q50" s="230"/>
      <c r="R50" s="230"/>
      <c r="S50" s="230"/>
      <c r="T50" s="230"/>
      <c r="U50" s="230" t="str">
        <f>IF(D50="","",VLOOKUP(D50,DropDown!$Q$2:$R$12,2,FALSE))</f>
        <v/>
      </c>
      <c r="V50" s="230"/>
      <c r="W50" s="230"/>
      <c r="X50" s="230"/>
      <c r="Y50" s="230"/>
      <c r="Z50" s="230"/>
      <c r="AA50" s="230"/>
      <c r="AB50" s="230"/>
      <c r="AC50" s="230"/>
      <c r="AD50" s="230"/>
      <c r="AE50" s="230"/>
    </row>
    <row r="51" spans="1:31">
      <c r="A51" s="98"/>
      <c r="B51" s="38"/>
      <c r="C51" s="252"/>
      <c r="D51" s="251"/>
      <c r="E51" s="107"/>
      <c r="F51" s="181"/>
      <c r="G51" s="230"/>
      <c r="H51" s="230"/>
      <c r="I51" s="230"/>
      <c r="J51" s="230"/>
      <c r="K51" s="230"/>
      <c r="L51" s="230"/>
      <c r="M51" s="230"/>
      <c r="N51" s="230"/>
      <c r="O51" s="230"/>
      <c r="P51" s="230"/>
      <c r="Q51" s="230"/>
      <c r="R51" s="230"/>
      <c r="S51" s="230"/>
      <c r="T51" s="230"/>
      <c r="U51" s="230" t="str">
        <f>IF(D51="","",VLOOKUP(D51,DropDown!$Q$2:$R$12,2,FALSE))</f>
        <v/>
      </c>
      <c r="V51" s="230"/>
      <c r="W51" s="230"/>
      <c r="X51" s="230"/>
      <c r="Y51" s="230"/>
      <c r="Z51" s="230"/>
      <c r="AA51" s="230"/>
      <c r="AB51" s="230"/>
      <c r="AC51" s="230"/>
      <c r="AD51" s="230"/>
      <c r="AE51" s="230"/>
    </row>
    <row r="52" spans="1:31">
      <c r="A52" s="98"/>
      <c r="B52" s="38"/>
      <c r="C52" s="252"/>
      <c r="D52" s="251"/>
      <c r="E52" s="107"/>
      <c r="F52" s="181"/>
      <c r="G52" s="230"/>
      <c r="H52" s="230"/>
      <c r="I52" s="230"/>
      <c r="J52" s="230"/>
      <c r="K52" s="230"/>
      <c r="L52" s="230"/>
      <c r="M52" s="230"/>
      <c r="N52" s="230"/>
      <c r="O52" s="230"/>
      <c r="P52" s="230"/>
      <c r="Q52" s="230"/>
      <c r="R52" s="230"/>
      <c r="S52" s="230"/>
      <c r="T52" s="230"/>
      <c r="U52" s="230" t="str">
        <f>IF(D52="","",VLOOKUP(D52,DropDown!$Q$2:$R$12,2,FALSE))</f>
        <v/>
      </c>
      <c r="V52" s="230"/>
      <c r="W52" s="230"/>
      <c r="X52" s="230"/>
      <c r="Y52" s="230"/>
      <c r="Z52" s="230"/>
      <c r="AA52" s="230"/>
      <c r="AB52" s="230"/>
      <c r="AC52" s="230"/>
      <c r="AD52" s="230"/>
      <c r="AE52" s="230"/>
    </row>
    <row r="53" spans="1:31">
      <c r="A53" s="98"/>
      <c r="B53" s="38"/>
      <c r="C53" s="252"/>
      <c r="D53" s="251"/>
      <c r="E53" s="107"/>
      <c r="F53" s="181"/>
      <c r="G53" s="230"/>
      <c r="H53" s="230"/>
      <c r="I53" s="230"/>
      <c r="J53" s="230"/>
      <c r="K53" s="230"/>
      <c r="L53" s="230"/>
      <c r="M53" s="230"/>
      <c r="N53" s="230"/>
      <c r="O53" s="230"/>
      <c r="P53" s="230"/>
      <c r="Q53" s="230"/>
      <c r="R53" s="230"/>
      <c r="S53" s="230"/>
      <c r="T53" s="230"/>
      <c r="U53" s="230" t="str">
        <f>IF(D53="","",VLOOKUP(D53,DropDown!$Q$2:$R$12,2,FALSE))</f>
        <v/>
      </c>
      <c r="V53" s="230"/>
      <c r="W53" s="230"/>
      <c r="X53" s="230"/>
      <c r="Y53" s="230"/>
      <c r="Z53" s="230"/>
      <c r="AA53" s="230"/>
      <c r="AB53" s="230"/>
      <c r="AC53" s="230"/>
      <c r="AD53" s="230"/>
      <c r="AE53" s="230"/>
    </row>
    <row r="54" spans="1:31">
      <c r="A54" s="98"/>
      <c r="B54" s="38"/>
      <c r="C54" s="252"/>
      <c r="D54" s="251"/>
      <c r="E54" s="107"/>
      <c r="F54" s="181"/>
      <c r="G54" s="230"/>
      <c r="H54" s="230"/>
      <c r="I54" s="230"/>
      <c r="J54" s="230"/>
      <c r="K54" s="230"/>
      <c r="L54" s="230"/>
      <c r="M54" s="230"/>
      <c r="N54" s="230"/>
      <c r="O54" s="230"/>
      <c r="P54" s="230"/>
      <c r="Q54" s="230"/>
      <c r="R54" s="230"/>
      <c r="S54" s="230"/>
      <c r="T54" s="230"/>
      <c r="U54" s="230" t="str">
        <f>IF(D54="","",VLOOKUP(D54,DropDown!$Q$2:$R$12,2,FALSE))</f>
        <v/>
      </c>
      <c r="V54" s="230"/>
      <c r="W54" s="230"/>
      <c r="X54" s="230"/>
      <c r="Y54" s="230"/>
      <c r="Z54" s="230"/>
      <c r="AA54" s="230"/>
      <c r="AB54" s="230"/>
      <c r="AC54" s="230"/>
      <c r="AD54" s="230"/>
      <c r="AE54" s="230"/>
    </row>
    <row r="55" spans="1:31">
      <c r="A55" s="98"/>
      <c r="B55" s="38"/>
      <c r="C55" s="252"/>
      <c r="D55" s="251"/>
      <c r="E55" s="107"/>
      <c r="F55" s="181"/>
      <c r="G55" s="230"/>
      <c r="H55" s="230"/>
      <c r="I55" s="230"/>
      <c r="J55" s="230"/>
      <c r="K55" s="230"/>
      <c r="L55" s="230"/>
      <c r="M55" s="230"/>
      <c r="N55" s="230"/>
      <c r="O55" s="230"/>
      <c r="P55" s="230"/>
      <c r="Q55" s="230"/>
      <c r="R55" s="230"/>
      <c r="S55" s="230"/>
      <c r="T55" s="230"/>
      <c r="U55" s="230" t="str">
        <f>IF(D55="","",VLOOKUP(D55,DropDown!$Q$2:$R$12,2,FALSE))</f>
        <v/>
      </c>
      <c r="V55" s="230"/>
      <c r="W55" s="230"/>
      <c r="X55" s="230"/>
      <c r="Y55" s="230"/>
      <c r="Z55" s="230"/>
      <c r="AA55" s="230"/>
      <c r="AB55" s="230"/>
      <c r="AC55" s="230"/>
      <c r="AD55" s="230"/>
      <c r="AE55" s="230"/>
    </row>
    <row r="56" spans="1:31">
      <c r="A56" s="98"/>
      <c r="B56" s="38"/>
      <c r="C56" s="252"/>
      <c r="D56" s="251"/>
      <c r="E56" s="107"/>
      <c r="F56" s="181"/>
      <c r="G56" s="230"/>
      <c r="H56" s="230"/>
      <c r="I56" s="230"/>
      <c r="J56" s="230"/>
      <c r="K56" s="230"/>
      <c r="L56" s="230"/>
      <c r="M56" s="230"/>
      <c r="N56" s="230"/>
      <c r="O56" s="230"/>
      <c r="P56" s="230"/>
      <c r="Q56" s="230"/>
      <c r="R56" s="230"/>
      <c r="S56" s="230"/>
      <c r="T56" s="230"/>
      <c r="U56" s="230" t="str">
        <f>IF(D56="","",VLOOKUP(D56,DropDown!$Q$2:$R$12,2,FALSE))</f>
        <v/>
      </c>
      <c r="V56" s="230"/>
      <c r="W56" s="230"/>
      <c r="X56" s="230"/>
      <c r="Y56" s="230"/>
      <c r="Z56" s="230"/>
      <c r="AA56" s="230"/>
      <c r="AB56" s="230"/>
      <c r="AC56" s="230"/>
      <c r="AD56" s="230"/>
      <c r="AE56" s="230"/>
    </row>
    <row r="57" spans="1:31">
      <c r="A57" s="98"/>
      <c r="B57" s="38"/>
      <c r="C57" s="252"/>
      <c r="D57" s="251"/>
      <c r="E57" s="107"/>
      <c r="F57" s="181"/>
      <c r="G57" s="230"/>
      <c r="H57" s="230"/>
      <c r="I57" s="230"/>
      <c r="J57" s="230"/>
      <c r="K57" s="230"/>
      <c r="L57" s="230"/>
      <c r="M57" s="230"/>
      <c r="N57" s="230"/>
      <c r="O57" s="230"/>
      <c r="P57" s="230"/>
      <c r="Q57" s="230"/>
      <c r="R57" s="230"/>
      <c r="S57" s="230"/>
      <c r="T57" s="230"/>
      <c r="U57" s="230" t="str">
        <f>IF(D57="","",VLOOKUP(D57,DropDown!$Q$2:$R$12,2,FALSE))</f>
        <v/>
      </c>
      <c r="V57" s="230"/>
      <c r="W57" s="230"/>
      <c r="X57" s="230"/>
      <c r="Y57" s="230"/>
      <c r="Z57" s="230"/>
      <c r="AA57" s="230"/>
      <c r="AB57" s="230"/>
      <c r="AC57" s="230"/>
      <c r="AD57" s="230"/>
      <c r="AE57" s="230"/>
    </row>
    <row r="58" spans="1:31" ht="13.5" thickBot="1">
      <c r="A58" s="99"/>
      <c r="B58" s="100"/>
      <c r="C58" s="687"/>
      <c r="D58" s="254"/>
      <c r="E58" s="108"/>
      <c r="F58" s="182"/>
      <c r="G58" s="230"/>
      <c r="H58" s="230"/>
      <c r="I58" s="230"/>
      <c r="J58" s="230"/>
      <c r="K58" s="230"/>
      <c r="L58" s="230"/>
      <c r="M58" s="230"/>
      <c r="N58" s="230"/>
      <c r="O58" s="230"/>
      <c r="P58" s="230"/>
      <c r="Q58" s="230"/>
      <c r="R58" s="230"/>
      <c r="S58" s="230"/>
      <c r="T58" s="230"/>
      <c r="U58" s="230" t="str">
        <f>IF(D58="","",VLOOKUP(D58,DropDown!$Q$2:$R$12,2,FALSE))</f>
        <v/>
      </c>
      <c r="V58" s="230"/>
      <c r="W58" s="230"/>
      <c r="X58" s="230"/>
      <c r="Y58" s="230"/>
      <c r="Z58" s="230"/>
      <c r="AA58" s="230"/>
      <c r="AB58" s="230"/>
      <c r="AC58" s="230"/>
      <c r="AD58" s="230"/>
      <c r="AE58" s="230"/>
    </row>
    <row r="59" spans="1:31">
      <c r="A59" s="10"/>
      <c r="B59" s="13"/>
      <c r="C59" s="15"/>
      <c r="D59" s="10"/>
      <c r="E59" s="1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1">
      <c r="A60" s="358" t="s">
        <v>377</v>
      </c>
      <c r="B60" s="358"/>
      <c r="C60" s="358"/>
      <c r="D60" s="358"/>
      <c r="E60" s="358"/>
      <c r="F60" s="358"/>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1">
      <c r="A61" s="10"/>
      <c r="B61" s="13"/>
      <c r="C61" s="15"/>
      <c r="D61" s="10"/>
      <c r="E61" s="1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1" ht="13.5" thickBot="1">
      <c r="A62" s="13" t="s">
        <v>1125</v>
      </c>
      <c r="B62" s="10"/>
      <c r="C62" s="10"/>
      <c r="D62" s="10"/>
      <c r="E62" s="1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1">
      <c r="A63" s="1203" t="s">
        <v>171</v>
      </c>
      <c r="B63" s="1204"/>
      <c r="C63" s="21" t="s">
        <v>165</v>
      </c>
      <c r="D63" s="1194" t="s">
        <v>169</v>
      </c>
      <c r="E63" s="1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1" ht="13.5" thickBot="1">
      <c r="A64" s="1205"/>
      <c r="B64" s="1206"/>
      <c r="C64" s="24" t="s">
        <v>168</v>
      </c>
      <c r="D64" s="1195"/>
      <c r="E64" s="1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s="26" customFormat="1">
      <c r="A65" s="66" t="s">
        <v>172</v>
      </c>
      <c r="B65" s="88"/>
      <c r="C65" s="70">
        <f>SUMIFS($E$16:$E$58,$D$16:$D$58,$A65,$F$16:$F$58,"short ton")+(SUMIFS($E$16:$E$58,$D$16:$D$58,$A65,$F$16:$F$58,"MMBtu")*'Heat Content'!$D$14)</f>
        <v>0</v>
      </c>
      <c r="D65" s="89" t="s">
        <v>274</v>
      </c>
      <c r="E65" s="105"/>
      <c r="F65" s="462"/>
      <c r="G65" s="462"/>
      <c r="H65" s="462"/>
      <c r="I65" s="462"/>
      <c r="J65" s="462"/>
      <c r="K65" s="462"/>
      <c r="L65" s="462"/>
      <c r="M65" s="462"/>
      <c r="N65" s="462"/>
      <c r="O65" s="462"/>
      <c r="P65" s="462"/>
      <c r="Q65" s="462"/>
      <c r="R65" s="462"/>
      <c r="S65" s="462"/>
      <c r="T65" s="462"/>
      <c r="U65" s="462"/>
      <c r="V65" s="462"/>
      <c r="W65" s="462"/>
      <c r="X65" s="462"/>
      <c r="Y65" s="462"/>
      <c r="Z65" s="462"/>
      <c r="AA65" s="462"/>
      <c r="AB65" s="462"/>
      <c r="AC65" s="462"/>
      <c r="AD65" s="462"/>
    </row>
    <row r="66" spans="1:30" s="26" customFormat="1">
      <c r="A66" s="67" t="s">
        <v>173</v>
      </c>
      <c r="B66" s="87"/>
      <c r="C66" s="71">
        <f>SUMIFS($E$16:$E$58,$D$16:$D$58,$A66,$F$16:$F$58,"short ton")+(SUMIFS($E$16:$E$58,$D$16:$D$58,$A66,$F$16:$F$58,"MMBtu")*'Heat Content'!$D$15)</f>
        <v>0</v>
      </c>
      <c r="D66" s="90" t="s">
        <v>274</v>
      </c>
      <c r="E66" s="105"/>
      <c r="F66" s="462"/>
      <c r="G66" s="462"/>
      <c r="H66" s="462"/>
      <c r="I66" s="462"/>
      <c r="J66" s="462"/>
      <c r="K66" s="462"/>
      <c r="L66" s="462"/>
      <c r="M66" s="462"/>
      <c r="N66" s="462"/>
      <c r="O66" s="462"/>
      <c r="P66" s="462"/>
      <c r="Q66" s="462"/>
      <c r="R66" s="462"/>
      <c r="S66" s="462"/>
      <c r="T66" s="462"/>
      <c r="U66" s="462"/>
      <c r="V66" s="462"/>
      <c r="W66" s="462"/>
      <c r="X66" s="462"/>
      <c r="Y66" s="462"/>
      <c r="Z66" s="462"/>
      <c r="AA66" s="462"/>
      <c r="AB66" s="462"/>
      <c r="AC66" s="462"/>
      <c r="AD66" s="462"/>
    </row>
    <row r="67" spans="1:30" s="26" customFormat="1">
      <c r="A67" s="67" t="s">
        <v>174</v>
      </c>
      <c r="B67" s="87"/>
      <c r="C67" s="71">
        <f>SUMIFS($E$16:$E$58,$D$16:$D$58,$A67,$F$16:$F$58,"short ton")+(SUMIFS($E$16:$E$58,$D$16:$D$58,$A67,$F$16:$F$58,"MMBtu")*'Heat Content'!$D$16)</f>
        <v>0</v>
      </c>
      <c r="D67" s="90" t="s">
        <v>274</v>
      </c>
      <c r="E67" s="105"/>
      <c r="F67" s="462"/>
      <c r="G67" s="462"/>
      <c r="H67" s="462"/>
      <c r="I67" s="462"/>
      <c r="J67" s="462"/>
      <c r="K67" s="462"/>
      <c r="L67" s="462"/>
      <c r="M67" s="462"/>
      <c r="N67" s="462"/>
      <c r="O67" s="462"/>
      <c r="P67" s="462"/>
      <c r="Q67" s="462"/>
      <c r="R67" s="462"/>
      <c r="S67" s="462"/>
      <c r="T67" s="462"/>
      <c r="U67" s="462"/>
      <c r="V67" s="462"/>
      <c r="W67" s="462"/>
      <c r="X67" s="462"/>
      <c r="Y67" s="462"/>
      <c r="Z67" s="462"/>
      <c r="AA67" s="462"/>
      <c r="AB67" s="462"/>
      <c r="AC67" s="462"/>
      <c r="AD67" s="462"/>
    </row>
    <row r="68" spans="1:30" s="26" customFormat="1">
      <c r="A68" s="67" t="s">
        <v>175</v>
      </c>
      <c r="B68" s="87"/>
      <c r="C68" s="71">
        <f>SUMIFS($E$16:$E$58,$D$16:$D$58,$A68,$F$16:$F$58,"short ton")+(SUMIFS($E$16:$E$58,$D$16:$D$58,$A68,$F$16:$F$58,"MMBtu")*'Heat Content'!$D$18)</f>
        <v>0</v>
      </c>
      <c r="D68" s="90" t="s">
        <v>274</v>
      </c>
      <c r="E68" s="105"/>
      <c r="F68" s="462"/>
      <c r="G68" s="462"/>
      <c r="H68" s="462"/>
      <c r="I68" s="462"/>
      <c r="J68" s="462"/>
      <c r="K68" s="462"/>
      <c r="L68" s="462"/>
      <c r="M68" s="462"/>
      <c r="N68" s="462"/>
      <c r="O68" s="462"/>
      <c r="P68" s="462"/>
      <c r="Q68" s="462"/>
      <c r="R68" s="462"/>
      <c r="S68" s="462"/>
      <c r="T68" s="462"/>
      <c r="U68" s="462"/>
      <c r="V68" s="462"/>
      <c r="W68" s="462"/>
      <c r="X68" s="462"/>
      <c r="Y68" s="462"/>
      <c r="Z68" s="462"/>
      <c r="AA68" s="462"/>
      <c r="AB68" s="462"/>
      <c r="AC68" s="462"/>
      <c r="AD68" s="462"/>
    </row>
    <row r="69" spans="1:30" s="26" customFormat="1">
      <c r="A69" s="67" t="s">
        <v>176</v>
      </c>
      <c r="B69" s="87"/>
      <c r="C69" s="71">
        <f>SUMIFS($E$16:$E$58,$D$16:$D$58,$A69,$F$16:$F$58,"scf")+(SUMIFS($E$16:$E$58,$D$16:$D$58,$A69,$F$16:$F$58,"MMBtu")*'Heat Content'!$D$7)+(SUMIFS($E$16:$E$58,$D$16:$D$58,$A69,$F$16:$F$58,"Therm")*'Heat Content'!$D$9)</f>
        <v>0</v>
      </c>
      <c r="D69" s="91" t="s">
        <v>177</v>
      </c>
      <c r="E69" s="105"/>
      <c r="F69" s="462"/>
      <c r="G69" s="462"/>
      <c r="H69" s="462"/>
      <c r="I69" s="462"/>
      <c r="J69" s="462"/>
      <c r="K69" s="462"/>
      <c r="L69" s="462"/>
      <c r="M69" s="462"/>
      <c r="N69" s="462"/>
      <c r="O69" s="462"/>
      <c r="P69" s="462"/>
      <c r="Q69" s="462"/>
      <c r="R69" s="462"/>
      <c r="S69" s="462"/>
      <c r="T69" s="462"/>
      <c r="U69" s="462"/>
      <c r="V69" s="462"/>
      <c r="W69" s="462"/>
      <c r="X69" s="462"/>
      <c r="Y69" s="462"/>
      <c r="Z69" s="462"/>
      <c r="AA69" s="462"/>
      <c r="AB69" s="462"/>
      <c r="AC69" s="462"/>
      <c r="AD69" s="462"/>
    </row>
    <row r="70" spans="1:30" s="26" customFormat="1">
      <c r="A70" s="762" t="s">
        <v>839</v>
      </c>
      <c r="B70" s="87"/>
      <c r="C70" s="71">
        <f>SUMIFS($E$16:$E$58,$D$16:$D$58,$A70,$F$16:$F$58,"gallons")+(SUMIFS($E$16:$E$58,$D$16:$D$58,$A70,$F$16:$F$58,"MMBtu")*'Heat Content'!$D$21)</f>
        <v>0</v>
      </c>
      <c r="D70" s="91" t="s">
        <v>178</v>
      </c>
      <c r="E70" s="105"/>
      <c r="F70" s="462"/>
      <c r="G70" s="462"/>
      <c r="H70" s="462"/>
      <c r="I70" s="462"/>
      <c r="J70" s="462"/>
      <c r="K70" s="462"/>
      <c r="L70" s="462"/>
      <c r="M70" s="462"/>
      <c r="N70" s="462"/>
      <c r="O70" s="462"/>
      <c r="P70" s="462"/>
      <c r="Q70" s="462"/>
      <c r="R70" s="462"/>
      <c r="S70" s="462"/>
      <c r="T70" s="462"/>
      <c r="U70" s="462"/>
      <c r="V70" s="462"/>
      <c r="W70" s="462"/>
      <c r="X70" s="462"/>
      <c r="Y70" s="462"/>
      <c r="Z70" s="462"/>
      <c r="AA70" s="462"/>
      <c r="AB70" s="462"/>
      <c r="AC70" s="462"/>
      <c r="AD70" s="462"/>
    </row>
    <row r="71" spans="1:30" s="26" customFormat="1">
      <c r="A71" s="762" t="s">
        <v>840</v>
      </c>
      <c r="B71" s="87"/>
      <c r="C71" s="71">
        <f>SUMIFS($E$16:$E$58,$D$16:$D$58,$A71,$F$16:$F$58,"gallons")+(SUMIFS($E$16:$E$58,$D$16:$D$58,$A71,$F$16:$F$58,"MMBtu")*'Heat Content'!$D$22)</f>
        <v>0</v>
      </c>
      <c r="D71" s="91" t="s">
        <v>178</v>
      </c>
      <c r="E71" s="105"/>
      <c r="F71" s="462"/>
      <c r="G71" s="462"/>
      <c r="H71" s="462"/>
      <c r="I71" s="462"/>
      <c r="J71" s="462"/>
      <c r="K71" s="462"/>
      <c r="L71" s="462"/>
      <c r="M71" s="462"/>
      <c r="N71" s="462"/>
      <c r="O71" s="462"/>
      <c r="P71" s="462"/>
      <c r="Q71" s="462"/>
      <c r="R71" s="462"/>
      <c r="S71" s="462"/>
      <c r="T71" s="462"/>
      <c r="U71" s="462"/>
      <c r="V71" s="462"/>
      <c r="W71" s="462"/>
      <c r="X71" s="462"/>
      <c r="Y71" s="462"/>
      <c r="Z71" s="462"/>
      <c r="AA71" s="462"/>
      <c r="AB71" s="462"/>
      <c r="AC71" s="462"/>
      <c r="AD71" s="462"/>
    </row>
    <row r="72" spans="1:30" s="26" customFormat="1">
      <c r="A72" s="67" t="s">
        <v>179</v>
      </c>
      <c r="B72" s="87"/>
      <c r="C72" s="71">
        <f>SUMIFS($E$16:$E$58,$D$16:$D$58,$A72,$F$16:$F$58,"gallons")+(SUMIFS($E$16:$E$58,$D$16:$D$58,$A72,$F$16:$F$58,"MMBtu")*'Heat Content'!$D$23)</f>
        <v>0</v>
      </c>
      <c r="D72" s="91" t="s">
        <v>178</v>
      </c>
      <c r="E72" s="105"/>
      <c r="F72" s="462"/>
      <c r="G72" s="462"/>
      <c r="H72" s="462"/>
      <c r="I72" s="462"/>
      <c r="J72" s="462"/>
      <c r="K72" s="462"/>
      <c r="L72" s="462"/>
      <c r="M72" s="462"/>
      <c r="N72" s="462"/>
      <c r="O72" s="462"/>
      <c r="P72" s="462"/>
      <c r="Q72" s="462"/>
      <c r="R72" s="462"/>
      <c r="S72" s="462"/>
      <c r="T72" s="462"/>
      <c r="U72" s="462"/>
      <c r="V72" s="462"/>
      <c r="W72" s="462"/>
      <c r="X72" s="462"/>
      <c r="Y72" s="462"/>
      <c r="Z72" s="462"/>
      <c r="AA72" s="462"/>
      <c r="AB72" s="462"/>
      <c r="AC72" s="462"/>
      <c r="AD72" s="462"/>
    </row>
    <row r="73" spans="1:30" s="26" customFormat="1">
      <c r="A73" s="762" t="s">
        <v>842</v>
      </c>
      <c r="B73" s="87"/>
      <c r="C73" s="71">
        <f>SUMIFS($E$16:$E$58,$D$16:$D$58,$A73,$F$16:$F$58,"gallons")+(SUMIFS($E$16:$E$58,$D$16:$D$58,$A73,$F$16:$F$58,"MMBtu")*'Heat Content'!$D$24)</f>
        <v>0</v>
      </c>
      <c r="D73" s="91" t="s">
        <v>178</v>
      </c>
      <c r="E73" s="105"/>
      <c r="F73" s="462"/>
      <c r="G73" s="462"/>
      <c r="H73" s="462"/>
      <c r="I73" s="462"/>
      <c r="J73" s="462"/>
      <c r="K73" s="462"/>
      <c r="L73" s="462"/>
      <c r="M73" s="462"/>
      <c r="N73" s="462"/>
      <c r="O73" s="462"/>
      <c r="P73" s="462"/>
      <c r="Q73" s="462"/>
      <c r="R73" s="462"/>
      <c r="S73" s="462"/>
      <c r="T73" s="462"/>
      <c r="U73" s="462"/>
      <c r="V73" s="462"/>
      <c r="W73" s="462"/>
      <c r="X73" s="462"/>
      <c r="Y73" s="462"/>
      <c r="Z73" s="462"/>
      <c r="AA73" s="462"/>
      <c r="AB73" s="462"/>
      <c r="AC73" s="462"/>
      <c r="AD73" s="462"/>
    </row>
    <row r="74" spans="1:30" s="26" customFormat="1">
      <c r="A74" s="196" t="s">
        <v>841</v>
      </c>
      <c r="B74" s="87"/>
      <c r="C74" s="71">
        <f>SUMIFS($E$16:$E$58,$D$16:$D$58,$A74,$F$16:$F$58,"short ton")+(SUMIFS($E$16:$E$58,$D$16:$D$58,$A74,$F$16:$F$58,"MMBtu")*'Heat Content'!$D$20)</f>
        <v>0</v>
      </c>
      <c r="D74" s="886" t="s">
        <v>274</v>
      </c>
      <c r="E74" s="105"/>
      <c r="F74" s="462"/>
      <c r="G74" s="462"/>
      <c r="H74" s="462"/>
      <c r="I74" s="462"/>
      <c r="J74" s="462"/>
      <c r="K74" s="462"/>
      <c r="L74" s="462"/>
      <c r="M74" s="462"/>
      <c r="N74" s="462"/>
      <c r="O74" s="462"/>
      <c r="P74" s="462"/>
      <c r="Q74" s="462"/>
      <c r="R74" s="462"/>
      <c r="S74" s="462"/>
      <c r="T74" s="462"/>
      <c r="U74" s="462"/>
      <c r="V74" s="462"/>
      <c r="W74" s="462"/>
      <c r="X74" s="462"/>
      <c r="Y74" s="462"/>
      <c r="Z74" s="462"/>
      <c r="AA74" s="462"/>
      <c r="AB74" s="462"/>
      <c r="AC74" s="462"/>
      <c r="AD74" s="462"/>
    </row>
    <row r="75" spans="1:30" ht="13.5" thickBot="1">
      <c r="A75" s="487" t="s">
        <v>843</v>
      </c>
      <c r="B75" s="92"/>
      <c r="C75" s="888">
        <f>SUMIFS($E$16:$E$58,$D$16:$D$58,$A75,$F$16:$F$58,"scf")+(SUMIFS($E$16:$E$58,$D$16:$D$58,$A75,$F$16:$F$58,"MMBtu")*'Heat Content'!$D$26)+(SUMIFS($E$16:$E$58,$D$16:$D$58,$A75,$F$16:$F$58,"Therm")*'Heat Content'!$D$26/10)</f>
        <v>0</v>
      </c>
      <c r="D75" s="887" t="s">
        <v>177</v>
      </c>
      <c r="E75" s="1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10"/>
      <c r="B76" s="78"/>
      <c r="C76" s="78"/>
      <c r="D76" s="78"/>
      <c r="E76" s="1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ht="15" thickBot="1">
      <c r="A77" s="13" t="s">
        <v>1149</v>
      </c>
      <c r="B77" s="10"/>
      <c r="C77" s="10"/>
      <c r="D77" s="10"/>
      <c r="E77" s="1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ht="15" thickBot="1">
      <c r="A78" s="1197" t="s">
        <v>171</v>
      </c>
      <c r="B78" s="1198"/>
      <c r="C78" s="265" t="s">
        <v>344</v>
      </c>
      <c r="D78" s="265" t="s">
        <v>345</v>
      </c>
      <c r="E78" s="266" t="s">
        <v>307</v>
      </c>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s="26" customFormat="1">
      <c r="A79" s="85" t="s">
        <v>172</v>
      </c>
      <c r="B79" s="86"/>
      <c r="C79" s="357">
        <f>$C65*VLOOKUP($A79,Stationary_Fuel_Fctrs_unit,5,FALSE)</f>
        <v>0</v>
      </c>
      <c r="D79" s="357">
        <f t="shared" ref="D79:D87" si="0">$C65*VLOOKUP($A79,Stationary_Fuel_Fctrs_unit,6,FALSE)</f>
        <v>0</v>
      </c>
      <c r="E79" s="357">
        <f t="shared" ref="E79:E87" si="1">$C65*VLOOKUP($A79,Stationary_Fuel_Fctrs_unit,7,FALSE)</f>
        <v>0</v>
      </c>
      <c r="F79" s="462"/>
      <c r="G79" s="462"/>
      <c r="H79" s="462"/>
      <c r="I79" s="462"/>
      <c r="J79" s="462"/>
      <c r="K79" s="462"/>
      <c r="L79" s="462"/>
      <c r="M79" s="462"/>
      <c r="N79" s="462"/>
      <c r="O79" s="462"/>
      <c r="P79" s="462"/>
      <c r="Q79" s="462"/>
      <c r="R79" s="462"/>
      <c r="S79" s="462"/>
      <c r="T79" s="462"/>
      <c r="U79" s="462"/>
      <c r="V79" s="462"/>
      <c r="W79" s="462"/>
      <c r="X79" s="462"/>
      <c r="Y79" s="462"/>
      <c r="Z79" s="462"/>
      <c r="AA79" s="462"/>
      <c r="AB79" s="462"/>
      <c r="AC79" s="462"/>
      <c r="AD79" s="462"/>
    </row>
    <row r="80" spans="1:30" s="26" customFormat="1">
      <c r="A80" s="67" t="s">
        <v>173</v>
      </c>
      <c r="B80" s="87"/>
      <c r="C80" s="357">
        <f t="shared" ref="C80:C87" si="2">$C66*VLOOKUP($A80,Stationary_Fuel_Fctrs_unit,5,FALSE)</f>
        <v>0</v>
      </c>
      <c r="D80" s="357">
        <f t="shared" si="0"/>
        <v>0</v>
      </c>
      <c r="E80" s="357">
        <f t="shared" si="1"/>
        <v>0</v>
      </c>
      <c r="F80" s="462"/>
      <c r="G80" s="462"/>
      <c r="H80" s="462"/>
      <c r="I80" s="462"/>
      <c r="J80" s="462"/>
      <c r="K80" s="462"/>
      <c r="L80" s="462"/>
      <c r="M80" s="462"/>
      <c r="N80" s="462"/>
      <c r="O80" s="462"/>
      <c r="P80" s="462"/>
      <c r="Q80" s="462"/>
      <c r="R80" s="462"/>
      <c r="S80" s="462"/>
      <c r="T80" s="462"/>
      <c r="U80" s="462"/>
      <c r="V80" s="462"/>
      <c r="W80" s="462"/>
      <c r="X80" s="462"/>
      <c r="Y80" s="462"/>
      <c r="Z80" s="462"/>
      <c r="AA80" s="462"/>
      <c r="AB80" s="462"/>
      <c r="AC80" s="462"/>
      <c r="AD80" s="462"/>
    </row>
    <row r="81" spans="1:30" s="26" customFormat="1">
      <c r="A81" s="67" t="s">
        <v>174</v>
      </c>
      <c r="B81" s="87"/>
      <c r="C81" s="357">
        <f t="shared" si="2"/>
        <v>0</v>
      </c>
      <c r="D81" s="357">
        <f t="shared" si="0"/>
        <v>0</v>
      </c>
      <c r="E81" s="357">
        <f t="shared" si="1"/>
        <v>0</v>
      </c>
      <c r="F81" s="462"/>
      <c r="G81" s="462"/>
      <c r="H81" s="462"/>
      <c r="I81" s="462"/>
      <c r="J81" s="462"/>
      <c r="K81" s="462"/>
      <c r="L81" s="462"/>
      <c r="M81" s="462"/>
      <c r="N81" s="462"/>
      <c r="O81" s="462"/>
      <c r="P81" s="462"/>
      <c r="Q81" s="462"/>
      <c r="R81" s="462"/>
      <c r="S81" s="462"/>
      <c r="T81" s="462"/>
      <c r="U81" s="462"/>
      <c r="V81" s="462"/>
      <c r="W81" s="462"/>
      <c r="X81" s="462"/>
      <c r="Y81" s="462"/>
      <c r="Z81" s="462"/>
      <c r="AA81" s="462"/>
      <c r="AB81" s="462"/>
      <c r="AC81" s="462"/>
      <c r="AD81" s="462"/>
    </row>
    <row r="82" spans="1:30" s="26" customFormat="1">
      <c r="A82" s="67" t="s">
        <v>175</v>
      </c>
      <c r="B82" s="87"/>
      <c r="C82" s="357">
        <f t="shared" si="2"/>
        <v>0</v>
      </c>
      <c r="D82" s="357">
        <f t="shared" si="0"/>
        <v>0</v>
      </c>
      <c r="E82" s="357">
        <f t="shared" si="1"/>
        <v>0</v>
      </c>
      <c r="F82" s="462"/>
      <c r="G82" s="462"/>
      <c r="H82" s="462"/>
      <c r="I82" s="462"/>
      <c r="J82" s="462"/>
      <c r="K82" s="462"/>
      <c r="L82" s="462"/>
      <c r="M82" s="462"/>
      <c r="N82" s="462"/>
      <c r="O82" s="462"/>
      <c r="P82" s="462"/>
      <c r="Q82" s="462"/>
      <c r="R82" s="462"/>
      <c r="S82" s="462"/>
      <c r="T82" s="462"/>
      <c r="U82" s="462"/>
      <c r="V82" s="462"/>
      <c r="W82" s="462"/>
      <c r="X82" s="462"/>
      <c r="Y82" s="462"/>
      <c r="Z82" s="462"/>
      <c r="AA82" s="462"/>
      <c r="AB82" s="462"/>
      <c r="AC82" s="462"/>
      <c r="AD82" s="462"/>
    </row>
    <row r="83" spans="1:30" s="26" customFormat="1">
      <c r="A83" s="67" t="s">
        <v>176</v>
      </c>
      <c r="B83" s="87"/>
      <c r="C83" s="357">
        <f t="shared" si="2"/>
        <v>0</v>
      </c>
      <c r="D83" s="357">
        <f t="shared" si="0"/>
        <v>0</v>
      </c>
      <c r="E83" s="357">
        <f t="shared" si="1"/>
        <v>0</v>
      </c>
      <c r="F83" s="462"/>
      <c r="G83" s="462"/>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row>
    <row r="84" spans="1:30" s="26" customFormat="1">
      <c r="A84" s="67" t="s">
        <v>839</v>
      </c>
      <c r="B84" s="87"/>
      <c r="C84" s="357">
        <f t="shared" si="2"/>
        <v>0</v>
      </c>
      <c r="D84" s="357">
        <f t="shared" si="0"/>
        <v>0</v>
      </c>
      <c r="E84" s="357">
        <f t="shared" si="1"/>
        <v>0</v>
      </c>
      <c r="F84" s="462"/>
      <c r="G84" s="462"/>
      <c r="H84" s="462"/>
      <c r="I84" s="462"/>
      <c r="J84" s="462"/>
      <c r="K84" s="462"/>
      <c r="L84" s="462"/>
      <c r="M84" s="462"/>
      <c r="N84" s="462"/>
      <c r="O84" s="462"/>
      <c r="P84" s="462"/>
      <c r="Q84" s="462"/>
      <c r="R84" s="462"/>
      <c r="S84" s="462"/>
      <c r="T84" s="462"/>
      <c r="U84" s="462"/>
      <c r="V84" s="462"/>
      <c r="W84" s="462"/>
      <c r="X84" s="462"/>
      <c r="Y84" s="462"/>
      <c r="Z84" s="462"/>
      <c r="AA84" s="462"/>
      <c r="AB84" s="462"/>
      <c r="AC84" s="462"/>
      <c r="AD84" s="462"/>
    </row>
    <row r="85" spans="1:30" s="26" customFormat="1">
      <c r="A85" s="7" t="s">
        <v>840</v>
      </c>
      <c r="B85" s="87"/>
      <c r="C85" s="357">
        <f t="shared" si="2"/>
        <v>0</v>
      </c>
      <c r="D85" s="357">
        <f>$C71*VLOOKUP($A85,Stationary_Fuel_Fctrs_unit,6,FALSE)</f>
        <v>0</v>
      </c>
      <c r="E85" s="357">
        <f>$C71*VLOOKUP($A85,Stationary_Fuel_Fctrs_unit,7,FALSE)</f>
        <v>0</v>
      </c>
      <c r="F85" s="462"/>
      <c r="G85" s="462"/>
      <c r="H85" s="462"/>
      <c r="I85" s="462"/>
      <c r="J85" s="462"/>
      <c r="K85" s="462"/>
      <c r="L85" s="462"/>
      <c r="M85" s="462"/>
      <c r="N85" s="462"/>
      <c r="O85" s="462"/>
      <c r="P85" s="462"/>
      <c r="Q85" s="462"/>
      <c r="R85" s="462"/>
      <c r="S85" s="462"/>
      <c r="T85" s="462"/>
      <c r="U85" s="462"/>
      <c r="V85" s="462"/>
      <c r="W85" s="462"/>
      <c r="X85" s="462"/>
      <c r="Y85" s="462"/>
      <c r="Z85" s="462"/>
      <c r="AA85" s="462"/>
      <c r="AB85" s="462"/>
      <c r="AC85" s="462"/>
      <c r="AD85" s="462"/>
    </row>
    <row r="86" spans="1:30" s="26" customFormat="1">
      <c r="A86" s="67" t="s">
        <v>179</v>
      </c>
      <c r="B86" s="87"/>
      <c r="C86" s="357">
        <f t="shared" si="2"/>
        <v>0</v>
      </c>
      <c r="D86" s="357">
        <f t="shared" si="0"/>
        <v>0</v>
      </c>
      <c r="E86" s="357">
        <f t="shared" si="1"/>
        <v>0</v>
      </c>
      <c r="F86" s="462"/>
      <c r="G86" s="462"/>
      <c r="H86" s="462"/>
      <c r="I86" s="462"/>
      <c r="J86" s="462"/>
      <c r="K86" s="462"/>
      <c r="L86" s="462"/>
      <c r="M86" s="462"/>
      <c r="N86" s="462"/>
      <c r="O86" s="462"/>
      <c r="P86" s="462"/>
      <c r="Q86" s="462"/>
      <c r="R86" s="462"/>
      <c r="S86" s="462"/>
      <c r="T86" s="462"/>
      <c r="U86" s="462"/>
      <c r="V86" s="462"/>
      <c r="W86" s="462"/>
      <c r="X86" s="462"/>
      <c r="Y86" s="462"/>
      <c r="Z86" s="462"/>
      <c r="AA86" s="462"/>
      <c r="AB86" s="462"/>
      <c r="AC86" s="462"/>
      <c r="AD86" s="462"/>
    </row>
    <row r="87" spans="1:30" s="26" customFormat="1">
      <c r="A87" s="276" t="s">
        <v>842</v>
      </c>
      <c r="B87" s="87"/>
      <c r="C87" s="357">
        <f t="shared" si="2"/>
        <v>0</v>
      </c>
      <c r="D87" s="357">
        <f t="shared" si="0"/>
        <v>0</v>
      </c>
      <c r="E87" s="357">
        <f t="shared" si="1"/>
        <v>0</v>
      </c>
      <c r="F87" s="462"/>
      <c r="G87" s="462"/>
      <c r="H87" s="462"/>
      <c r="I87" s="462"/>
      <c r="J87" s="462"/>
      <c r="K87" s="462"/>
      <c r="L87" s="462"/>
      <c r="M87" s="462"/>
      <c r="N87" s="462"/>
      <c r="O87" s="462"/>
      <c r="P87" s="462"/>
      <c r="Q87" s="462"/>
      <c r="R87" s="462"/>
      <c r="S87" s="462"/>
      <c r="T87" s="462"/>
      <c r="U87" s="462"/>
      <c r="V87" s="462"/>
      <c r="W87" s="462"/>
      <c r="X87" s="462"/>
      <c r="Y87" s="462"/>
      <c r="Z87" s="462"/>
      <c r="AA87" s="462"/>
      <c r="AB87" s="462"/>
      <c r="AC87" s="462"/>
      <c r="AD87" s="462"/>
    </row>
    <row r="88" spans="1:30" s="26" customFormat="1">
      <c r="A88" s="311" t="s">
        <v>261</v>
      </c>
      <c r="B88" s="312"/>
      <c r="C88" s="313">
        <f>SUM(C79:C87)</f>
        <v>0</v>
      </c>
      <c r="D88" s="313">
        <f>SUM(D79:D87)</f>
        <v>0</v>
      </c>
      <c r="E88" s="314">
        <f>SUM(E79:E87)</f>
        <v>0</v>
      </c>
      <c r="F88" s="462"/>
      <c r="G88" s="462"/>
      <c r="H88" s="462"/>
      <c r="I88" s="462"/>
      <c r="J88" s="462"/>
      <c r="K88" s="462"/>
      <c r="L88" s="462"/>
      <c r="M88" s="462"/>
      <c r="N88" s="462"/>
      <c r="O88" s="462"/>
      <c r="P88" s="462"/>
      <c r="Q88" s="462"/>
      <c r="R88" s="462"/>
      <c r="S88" s="462"/>
      <c r="T88" s="462"/>
      <c r="U88" s="462"/>
      <c r="V88" s="462"/>
      <c r="W88" s="462"/>
      <c r="X88" s="462"/>
      <c r="Y88" s="462"/>
      <c r="Z88" s="462"/>
      <c r="AA88" s="462"/>
      <c r="AB88" s="462"/>
      <c r="AC88" s="462"/>
      <c r="AD88" s="462"/>
    </row>
    <row r="89" spans="1:30" s="26" customFormat="1">
      <c r="A89" s="7" t="s">
        <v>841</v>
      </c>
      <c r="B89" s="87"/>
      <c r="C89" s="357">
        <f>$C74*VLOOKUP($A89,Stationary_Fuel_Fctrs_unit,5,FALSE)</f>
        <v>0</v>
      </c>
      <c r="D89" s="357">
        <f>$C74*VLOOKUP($A89,Stationary_Fuel_Fctrs_unit,6,FALSE)</f>
        <v>0</v>
      </c>
      <c r="E89" s="357">
        <f>$C74*VLOOKUP($A89,Stationary_Fuel_Fctrs_unit,7,FALSE)</f>
        <v>0</v>
      </c>
      <c r="F89" s="462"/>
      <c r="G89" s="462"/>
      <c r="H89" s="462"/>
      <c r="I89" s="462"/>
      <c r="J89" s="462"/>
      <c r="K89" s="462"/>
      <c r="L89" s="462"/>
      <c r="M89" s="462"/>
      <c r="N89" s="462"/>
      <c r="O89" s="462"/>
      <c r="P89" s="462"/>
      <c r="Q89" s="462"/>
      <c r="R89" s="462"/>
      <c r="S89" s="462"/>
      <c r="T89" s="462"/>
      <c r="U89" s="462"/>
      <c r="V89" s="462"/>
      <c r="W89" s="462"/>
      <c r="X89" s="462"/>
      <c r="Y89" s="462"/>
      <c r="Z89" s="462"/>
      <c r="AA89" s="462"/>
      <c r="AB89" s="462"/>
      <c r="AC89" s="462"/>
      <c r="AD89" s="462"/>
    </row>
    <row r="90" spans="1:30">
      <c r="A90" s="584" t="s">
        <v>843</v>
      </c>
      <c r="B90" s="69"/>
      <c r="C90" s="357">
        <f>$C75*VLOOKUP(A90,Stationary_Fuel_Fctrs_unit,5,FALSE)</f>
        <v>0</v>
      </c>
      <c r="D90" s="357">
        <f>$C75*VLOOKUP($A90,Stationary_Fuel_Fctrs_unit,6,FALSE)</f>
        <v>0</v>
      </c>
      <c r="E90" s="357">
        <f>$C75*VLOOKUP($A90,Stationary_Fuel_Fctrs_unit,7,FALSE)</f>
        <v>0</v>
      </c>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ht="13.5" thickBot="1">
      <c r="A91" s="311" t="s">
        <v>262</v>
      </c>
      <c r="B91" s="312"/>
      <c r="C91" s="313">
        <f>SUM(C89:C90)</f>
        <v>0</v>
      </c>
      <c r="D91" s="313">
        <f>SUM(D89:D90)</f>
        <v>0</v>
      </c>
      <c r="E91" s="314">
        <f>SUM(E89:E90)</f>
        <v>0</v>
      </c>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ht="13.5" thickBot="1">
      <c r="A92" s="315" t="s">
        <v>187</v>
      </c>
      <c r="B92" s="316"/>
      <c r="C92" s="317">
        <f>C88+C91</f>
        <v>0</v>
      </c>
      <c r="D92" s="317">
        <f>D88+D91</f>
        <v>0</v>
      </c>
      <c r="E92" s="318">
        <f>E88+E91</f>
        <v>0</v>
      </c>
      <c r="F92" s="230"/>
      <c r="G92" s="463"/>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ht="13.5" thickBot="1">
      <c r="A93" s="230"/>
      <c r="B93" s="230"/>
      <c r="C93" s="230"/>
      <c r="D93" s="230"/>
      <c r="E93" s="230"/>
      <c r="F93" s="230"/>
      <c r="G93" s="464"/>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30"/>
      <c r="B94" s="35"/>
      <c r="C94" s="31"/>
      <c r="D94" s="31"/>
      <c r="E94" s="32"/>
      <c r="F94" s="230"/>
      <c r="G94" s="465"/>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ht="15" thickBot="1">
      <c r="A95" s="33" t="s">
        <v>556</v>
      </c>
      <c r="B95" s="310"/>
      <c r="C95" s="34"/>
      <c r="D95" s="34"/>
      <c r="E95" s="841">
        <f>(C88+(D88/1000*CH4_GWP)+(E88/1000*N2O_GWP)+(D91/1000*CH4_GWP)+(E91/1000*N2O_GWP))/1000</f>
        <v>0</v>
      </c>
      <c r="F95" s="230"/>
      <c r="G95" s="464"/>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52"/>
      <c r="B96" s="60"/>
      <c r="C96" s="60"/>
      <c r="D96" s="53"/>
      <c r="E96" s="225"/>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ht="15" thickBot="1">
      <c r="A97" s="54" t="s">
        <v>557</v>
      </c>
      <c r="B97" s="61"/>
      <c r="C97" s="61"/>
      <c r="D97" s="55"/>
      <c r="E97" s="226">
        <f>(C91/1000)</f>
        <v>0</v>
      </c>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10"/>
      <c r="B98" s="10"/>
      <c r="C98" s="10"/>
      <c r="D98" s="10"/>
      <c r="E98" s="1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103"/>
      <c r="B99" s="10"/>
      <c r="C99" s="10"/>
      <c r="D99" s="10"/>
      <c r="E99" s="1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103"/>
      <c r="B100" s="10"/>
      <c r="C100" s="10"/>
      <c r="D100" s="10"/>
      <c r="E100" s="1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466"/>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428"/>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466"/>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428"/>
      <c r="B104" s="428"/>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428"/>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sheetData>
  <sheetProtection sheet="1" objects="1" scenarios="1"/>
  <protectedRanges>
    <protectedRange sqref="A16:F58" name="Range1"/>
  </protectedRanges>
  <mergeCells count="7">
    <mergeCell ref="F13:F14"/>
    <mergeCell ref="A9:G9"/>
    <mergeCell ref="A78:B78"/>
    <mergeCell ref="A8:E8"/>
    <mergeCell ref="A6:E6"/>
    <mergeCell ref="A63:B64"/>
    <mergeCell ref="D63:D64"/>
  </mergeCells>
  <phoneticPr fontId="12" type="noConversion"/>
  <dataValidations count="2">
    <dataValidation type="list" allowBlank="1" showInputMessage="1" showErrorMessage="1" sqref="D15:D58" xr:uid="{00000000-0002-0000-0300-000000000000}">
      <formula1>Fuel_Type</formula1>
    </dataValidation>
    <dataValidation type="list" allowBlank="1" showInputMessage="1" showErrorMessage="1" sqref="F15:F58" xr:uid="{00000000-0002-0000-0300-000001000000}">
      <formula1>INDIRECT($U15)</formula1>
    </dataValidation>
  </dataValidations>
  <pageMargins left="0.25" right="0.25" top="0.25" bottom="0.5" header="0.5" footer="0.25"/>
  <pageSetup scale="93" orientation="portrait" r:id="rId1"/>
  <headerFooter alignWithMargins="0">
    <oddFooter>&amp;L&amp;"Arial,Italic"&amp;9EPA Climate Leaders Simplified GHG Emissions Calculator (Direct 1.0)&amp;R&amp;"Arial,Italic"&amp;9&amp;P of &amp;N</oddFooter>
  </headerFooter>
  <rowBreaks count="1" manualBreakCount="1">
    <brk id="58" max="16383" man="1"/>
  </rowBreaks>
  <colBreaks count="1" manualBreakCount="1">
    <brk id="6" max="1048575" man="1"/>
  </colBreaks>
  <drawing r:id="rId2"/>
  <legacyDrawing r:id="rId3"/>
  <controls>
    <mc:AlternateContent xmlns:mc="http://schemas.openxmlformats.org/markup-compatibility/2006">
      <mc:Choice Requires="x14">
        <control shapeId="11355" r:id="rId4" name="CommandButton1">
          <controlPr autoLine="0" r:id="rId5">
            <anchor moveWithCells="1" sizeWithCells="1">
              <from>
                <xdr:col>1</xdr:col>
                <xdr:colOff>66675</xdr:colOff>
                <xdr:row>0</xdr:row>
                <xdr:rowOff>142875</xdr:rowOff>
              </from>
              <to>
                <xdr:col>1</xdr:col>
                <xdr:colOff>981075</xdr:colOff>
                <xdr:row>1</xdr:row>
                <xdr:rowOff>142875</xdr:rowOff>
              </to>
            </anchor>
          </controlPr>
        </control>
      </mc:Choice>
      <mc:Fallback>
        <control shapeId="11355" r:id="rId4" name="CommandButton1"/>
      </mc:Fallback>
    </mc:AlternateContent>
    <mc:AlternateContent xmlns:mc="http://schemas.openxmlformats.org/markup-compatibility/2006">
      <mc:Choice Requires="x14">
        <control shapeId="11356" r:id="rId6" name="CommandButton2">
          <controlPr autoLine="0" r:id="rId7">
            <anchor moveWithCells="1" sizeWithCells="1">
              <from>
                <xdr:col>1</xdr:col>
                <xdr:colOff>1181100</xdr:colOff>
                <xdr:row>0</xdr:row>
                <xdr:rowOff>133350</xdr:rowOff>
              </from>
              <to>
                <xdr:col>2</xdr:col>
                <xdr:colOff>228600</xdr:colOff>
                <xdr:row>1</xdr:row>
                <xdr:rowOff>133350</xdr:rowOff>
              </to>
            </anchor>
          </controlPr>
        </control>
      </mc:Choice>
      <mc:Fallback>
        <control shapeId="11356" r:id="rId6" name="CommandButton2"/>
      </mc:Fallback>
    </mc:AlternateContent>
    <mc:AlternateContent xmlns:mc="http://schemas.openxmlformats.org/markup-compatibility/2006">
      <mc:Choice Requires="x14">
        <control shapeId="11458" r:id="rId8" name="CommandButton3">
          <controlPr autoLine="0" r:id="rId9">
            <anchor moveWithCells="1">
              <from>
                <xdr:col>3</xdr:col>
                <xdr:colOff>1209675</xdr:colOff>
                <xdr:row>0</xdr:row>
                <xdr:rowOff>142875</xdr:rowOff>
              </from>
              <to>
                <xdr:col>4</xdr:col>
                <xdr:colOff>523875</xdr:colOff>
                <xdr:row>1</xdr:row>
                <xdr:rowOff>142875</xdr:rowOff>
              </to>
            </anchor>
          </controlPr>
        </control>
      </mc:Choice>
      <mc:Fallback>
        <control shapeId="11458" r:id="rId8" name="CommandButton3"/>
      </mc:Fallback>
    </mc:AlternateContent>
    <mc:AlternateContent xmlns:mc="http://schemas.openxmlformats.org/markup-compatibility/2006">
      <mc:Choice Requires="x14">
        <control shapeId="11477" r:id="rId10" name="CommandButton4">
          <controlPr autoLine="0" r:id="rId11">
            <anchor moveWithCells="1">
              <from>
                <xdr:col>2</xdr:col>
                <xdr:colOff>666750</xdr:colOff>
                <xdr:row>0</xdr:row>
                <xdr:rowOff>142875</xdr:rowOff>
              </from>
              <to>
                <xdr:col>3</xdr:col>
                <xdr:colOff>695325</xdr:colOff>
                <xdr:row>1</xdr:row>
                <xdr:rowOff>142875</xdr:rowOff>
              </to>
            </anchor>
          </controlPr>
        </control>
      </mc:Choice>
      <mc:Fallback>
        <control shapeId="11477" r:id="rId10" name="CommandButton4"/>
      </mc:Fallback>
    </mc:AlternateContent>
  </control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AD267"/>
  <sheetViews>
    <sheetView zoomScaleNormal="100" workbookViewId="0">
      <pane ySplit="4" topLeftCell="A8" activePane="bottomLeft" state="frozen"/>
      <selection pane="bottomLeft" activeCell="A21" sqref="A21"/>
    </sheetView>
  </sheetViews>
  <sheetFormatPr defaultRowHeight="12.75"/>
  <cols>
    <col min="1" max="1" width="29.28515625" customWidth="1"/>
    <col min="2" max="2" width="22.5703125" customWidth="1"/>
    <col min="3" max="3" width="28.7109375" customWidth="1"/>
    <col min="4" max="4" width="15" bestFit="1" customWidth="1"/>
    <col min="5" max="7" width="11.7109375" customWidth="1"/>
    <col min="8" max="8" width="10" customWidth="1"/>
    <col min="9" max="10" width="9.7109375" style="2" customWidth="1"/>
    <col min="14" max="14" width="11.28515625" bestFit="1" customWidth="1"/>
    <col min="17" max="17" width="22.5703125" bestFit="1" customWidth="1"/>
    <col min="18" max="18" width="23.85546875" bestFit="1" customWidth="1"/>
    <col min="19" max="19" width="26.5703125" bestFit="1" customWidth="1"/>
    <col min="20" max="20" width="20.28515625" bestFit="1" customWidth="1"/>
    <col min="21" max="21" width="21.7109375" bestFit="1"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911</v>
      </c>
      <c r="B3" s="11"/>
      <c r="C3" s="10"/>
      <c r="D3" s="12"/>
      <c r="E3" s="10"/>
      <c r="F3" s="10"/>
      <c r="G3" s="1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229" t="s">
        <v>346</v>
      </c>
      <c r="B5" s="230"/>
      <c r="C5" s="230"/>
      <c r="D5" s="230"/>
      <c r="E5" s="230"/>
      <c r="F5" s="230"/>
      <c r="G5" s="230"/>
      <c r="H5" s="230"/>
      <c r="I5" s="230"/>
      <c r="J5" s="230"/>
      <c r="K5" s="230"/>
      <c r="L5" s="230"/>
      <c r="M5" s="233"/>
      <c r="N5" s="233"/>
      <c r="O5" s="230"/>
      <c r="P5" s="230"/>
      <c r="Q5" s="230"/>
      <c r="R5" s="230"/>
      <c r="S5" s="230"/>
      <c r="T5" s="230"/>
      <c r="U5" s="230"/>
      <c r="V5" s="230"/>
      <c r="W5" s="230"/>
      <c r="X5" s="230"/>
      <c r="Y5" s="230"/>
      <c r="Z5" s="230"/>
      <c r="AA5" s="230"/>
      <c r="AB5" s="230"/>
      <c r="AC5" s="230"/>
      <c r="AD5" s="230"/>
    </row>
    <row r="6" spans="1:30" ht="53.25" customHeight="1">
      <c r="A6" s="1208" t="s">
        <v>1382</v>
      </c>
      <c r="B6" s="1207"/>
      <c r="C6" s="1207"/>
      <c r="D6" s="1207"/>
      <c r="E6" s="1207"/>
      <c r="F6" s="1207"/>
      <c r="G6" s="1207"/>
      <c r="H6" s="230"/>
      <c r="I6" s="230"/>
      <c r="J6" s="230"/>
      <c r="K6" s="230"/>
      <c r="L6" s="230"/>
      <c r="M6" s="230"/>
      <c r="N6" s="230"/>
      <c r="O6" s="230"/>
      <c r="P6" s="230"/>
      <c r="Q6" s="230"/>
      <c r="R6" s="230"/>
      <c r="S6" s="230"/>
      <c r="T6" s="230"/>
      <c r="U6" s="230"/>
      <c r="V6" s="230"/>
      <c r="W6" s="230"/>
      <c r="X6" s="230"/>
      <c r="Y6" s="230"/>
      <c r="Z6" s="230"/>
      <c r="AA6" s="230"/>
      <c r="AB6" s="230"/>
      <c r="AC6" s="230"/>
      <c r="AD6" s="230"/>
    </row>
    <row r="7" spans="1:30">
      <c r="A7" s="1196" t="s">
        <v>622</v>
      </c>
      <c r="B7" s="1196"/>
      <c r="C7" s="1196"/>
      <c r="D7" s="1196"/>
      <c r="E7" s="1196"/>
      <c r="F7" s="1196"/>
      <c r="G7" s="1196"/>
      <c r="H7" s="1196"/>
      <c r="I7" s="1196"/>
      <c r="J7" s="230"/>
      <c r="K7" s="230"/>
      <c r="L7" s="230"/>
      <c r="M7" s="230"/>
      <c r="N7" s="230"/>
      <c r="O7" s="230"/>
      <c r="P7" s="230"/>
      <c r="Q7" s="230"/>
      <c r="R7" s="230"/>
      <c r="S7" s="230"/>
      <c r="T7" s="230"/>
      <c r="U7" s="230"/>
      <c r="V7" s="230"/>
      <c r="W7" s="230"/>
      <c r="X7" s="230"/>
      <c r="Y7" s="230"/>
      <c r="Z7" s="230"/>
      <c r="AA7" s="230"/>
      <c r="AB7" s="230"/>
      <c r="AC7" s="230"/>
      <c r="AD7" s="230"/>
    </row>
    <row r="8" spans="1:30">
      <c r="A8" s="1196" t="s">
        <v>672</v>
      </c>
      <c r="B8" s="1196"/>
      <c r="C8" s="1196"/>
      <c r="D8" s="1196"/>
      <c r="E8" s="1196"/>
      <c r="F8" s="1196"/>
      <c r="G8" s="1196"/>
      <c r="H8" s="1196"/>
      <c r="I8" s="1196"/>
      <c r="J8" s="230"/>
      <c r="K8" s="230"/>
      <c r="L8" s="230"/>
      <c r="M8" s="230"/>
      <c r="N8" s="230"/>
      <c r="O8" s="230"/>
      <c r="P8" s="230"/>
      <c r="Q8" s="230"/>
      <c r="R8" s="230"/>
      <c r="S8" s="230"/>
      <c r="T8" s="230"/>
      <c r="U8" s="230"/>
      <c r="V8" s="230"/>
      <c r="W8" s="230"/>
      <c r="X8" s="230"/>
      <c r="Y8" s="230"/>
      <c r="Z8" s="230"/>
      <c r="AA8" s="230"/>
      <c r="AB8" s="230"/>
      <c r="AC8" s="230"/>
      <c r="AD8" s="230"/>
    </row>
    <row r="9" spans="1:30">
      <c r="A9" s="101" t="s">
        <v>623</v>
      </c>
      <c r="B9" s="101" t="s">
        <v>673</v>
      </c>
      <c r="C9" s="10"/>
      <c r="D9" s="15"/>
      <c r="E9" s="10"/>
      <c r="F9" s="78"/>
      <c r="G9" s="10"/>
      <c r="H9" s="230"/>
      <c r="I9" s="230"/>
      <c r="J9" s="230"/>
      <c r="K9" s="230"/>
      <c r="L9" s="230"/>
      <c r="M9" s="230"/>
      <c r="N9" s="230"/>
      <c r="O9" s="230"/>
      <c r="P9" s="230"/>
      <c r="Q9" s="230"/>
      <c r="R9" s="230"/>
      <c r="S9" s="230"/>
      <c r="T9" s="230"/>
      <c r="U9" s="230"/>
      <c r="V9" s="230"/>
      <c r="W9" s="230"/>
      <c r="X9" s="230"/>
      <c r="Y9" s="230"/>
      <c r="Z9" s="230"/>
      <c r="AA9" s="230"/>
      <c r="AB9" s="230"/>
      <c r="AC9" s="230"/>
      <c r="AD9" s="230"/>
    </row>
    <row r="10" spans="1:30" ht="28.5" customHeight="1">
      <c r="A10" s="1207" t="s">
        <v>674</v>
      </c>
      <c r="B10" s="1207"/>
      <c r="C10" s="1207"/>
      <c r="D10" s="1207"/>
      <c r="E10" s="1207"/>
      <c r="F10" s="1207"/>
      <c r="G10" s="1207"/>
      <c r="H10" s="230"/>
      <c r="I10" s="230"/>
      <c r="J10" s="230"/>
      <c r="K10" s="257"/>
      <c r="L10" s="230"/>
      <c r="M10" s="230"/>
      <c r="N10" s="257"/>
      <c r="O10" s="230"/>
      <c r="P10" s="230"/>
      <c r="Q10" s="230"/>
      <c r="R10" s="230"/>
      <c r="S10" s="230"/>
      <c r="T10" s="230"/>
      <c r="U10" s="230"/>
      <c r="V10" s="230"/>
      <c r="W10" s="230"/>
      <c r="X10" s="230"/>
      <c r="Y10" s="230"/>
      <c r="Z10" s="230"/>
      <c r="AA10" s="230"/>
      <c r="AB10" s="230"/>
      <c r="AC10" s="230"/>
      <c r="AD10" s="230"/>
    </row>
    <row r="11" spans="1:30" ht="6" customHeight="1">
      <c r="A11" s="10"/>
      <c r="B11" s="10"/>
      <c r="C11" s="15"/>
      <c r="D11" s="15"/>
      <c r="E11" s="10"/>
      <c r="F11" s="10"/>
      <c r="G11" s="10"/>
      <c r="H11" s="230"/>
      <c r="I11" s="230"/>
      <c r="J11" s="230"/>
      <c r="K11" s="257"/>
      <c r="L11" s="230"/>
      <c r="M11" s="230"/>
      <c r="N11" s="230"/>
      <c r="O11" s="230"/>
      <c r="P11" s="230"/>
      <c r="Q11" s="230"/>
      <c r="R11" s="230"/>
      <c r="S11" s="230"/>
      <c r="T11" s="230"/>
      <c r="U11" s="230"/>
      <c r="V11" s="230"/>
      <c r="W11" s="230"/>
      <c r="X11" s="230"/>
      <c r="Y11" s="230"/>
      <c r="Z11" s="230"/>
      <c r="AA11" s="230"/>
      <c r="AB11" s="230"/>
      <c r="AC11" s="230"/>
      <c r="AD11" s="230"/>
    </row>
    <row r="12" spans="1:30">
      <c r="A12" s="10"/>
      <c r="B12" s="122"/>
      <c r="C12" s="623" t="s">
        <v>621</v>
      </c>
      <c r="D12" s="37">
        <v>20</v>
      </c>
      <c r="E12" s="10" t="s">
        <v>229</v>
      </c>
      <c r="F12" s="230"/>
      <c r="G12" s="1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10"/>
      <c r="B13" s="122"/>
      <c r="C13" s="623" t="s">
        <v>376</v>
      </c>
      <c r="D13" s="37">
        <v>85</v>
      </c>
      <c r="E13" s="10" t="s">
        <v>229</v>
      </c>
      <c r="F13" s="230"/>
      <c r="G13" s="1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ht="30.75" customHeight="1">
      <c r="A14" s="1207" t="s">
        <v>675</v>
      </c>
      <c r="B14" s="1207"/>
      <c r="C14" s="1207"/>
      <c r="D14" s="1207"/>
      <c r="E14" s="1207"/>
      <c r="F14" s="1207"/>
      <c r="G14" s="1207"/>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15"/>
      <c r="B15" s="15"/>
      <c r="C15" s="10"/>
      <c r="D15" s="15"/>
      <c r="E15" s="10"/>
      <c r="F15" s="78"/>
      <c r="G15" s="10"/>
      <c r="H15" s="230"/>
      <c r="I15" s="230"/>
      <c r="J15" s="230"/>
      <c r="K15" s="230"/>
      <c r="L15" s="230"/>
      <c r="M15" s="230"/>
      <c r="N15" s="230"/>
      <c r="O15" s="230"/>
      <c r="P15" s="324"/>
      <c r="Q15" s="324"/>
      <c r="R15" s="324"/>
      <c r="S15" s="324"/>
      <c r="T15" s="324"/>
      <c r="U15" s="324"/>
      <c r="V15" s="324"/>
      <c r="W15" s="230"/>
      <c r="X15" s="230"/>
      <c r="Y15" s="230"/>
      <c r="Z15" s="230"/>
      <c r="AA15" s="230"/>
      <c r="AB15" s="230"/>
      <c r="AC15" s="230"/>
      <c r="AD15" s="230"/>
    </row>
    <row r="16" spans="1:30" ht="13.5" thickBot="1">
      <c r="A16" s="13" t="s">
        <v>107</v>
      </c>
      <c r="B16" s="13"/>
      <c r="C16" s="15"/>
      <c r="D16" s="15"/>
      <c r="E16" s="10"/>
      <c r="F16" s="78"/>
      <c r="G16" s="10"/>
      <c r="H16" s="230"/>
      <c r="I16" s="230"/>
      <c r="J16" s="230"/>
      <c r="K16" s="230"/>
      <c r="L16" s="230"/>
      <c r="M16" s="230"/>
      <c r="N16" s="230"/>
      <c r="O16" s="230"/>
      <c r="P16" s="324"/>
      <c r="Q16" s="467"/>
      <c r="R16" s="467"/>
      <c r="S16" s="467"/>
      <c r="T16" s="467"/>
      <c r="U16" s="467"/>
      <c r="V16" s="324"/>
      <c r="W16" s="324"/>
      <c r="X16" s="230"/>
      <c r="Y16" s="230"/>
      <c r="Z16" s="230"/>
      <c r="AA16" s="230"/>
      <c r="AB16" s="230"/>
      <c r="AC16" s="230"/>
      <c r="AD16" s="230"/>
    </row>
    <row r="17" spans="1:30">
      <c r="A17" s="896" t="s">
        <v>163</v>
      </c>
      <c r="B17" s="21" t="s">
        <v>163</v>
      </c>
      <c r="C17" s="897" t="s">
        <v>235</v>
      </c>
      <c r="D17" s="21" t="s">
        <v>235</v>
      </c>
      <c r="E17" s="897" t="s">
        <v>164</v>
      </c>
      <c r="F17" s="21" t="s">
        <v>169</v>
      </c>
      <c r="G17" s="898" t="s">
        <v>240</v>
      </c>
      <c r="H17" s="230"/>
      <c r="I17" s="230"/>
      <c r="J17" s="230"/>
      <c r="K17" s="230"/>
      <c r="L17" s="230"/>
      <c r="M17" s="230"/>
      <c r="N17" s="230"/>
      <c r="O17" s="230"/>
      <c r="P17" s="324"/>
      <c r="Q17" s="324"/>
      <c r="R17" s="324"/>
      <c r="S17" s="324"/>
      <c r="T17" s="324"/>
      <c r="U17" s="324"/>
      <c r="V17" s="324"/>
      <c r="W17" s="324"/>
      <c r="X17" s="230"/>
      <c r="Y17" s="230"/>
      <c r="Z17" s="230"/>
      <c r="AA17" s="230"/>
      <c r="AB17" s="230"/>
      <c r="AC17" s="230"/>
      <c r="AD17" s="230"/>
    </row>
    <row r="18" spans="1:30" ht="13.5" thickBot="1">
      <c r="A18" s="894" t="s">
        <v>166</v>
      </c>
      <c r="B18" s="24" t="s">
        <v>167</v>
      </c>
      <c r="C18" s="895" t="s">
        <v>238</v>
      </c>
      <c r="D18" s="24" t="s">
        <v>239</v>
      </c>
      <c r="E18" s="895" t="s">
        <v>16</v>
      </c>
      <c r="F18" s="24"/>
      <c r="G18" s="893" t="s">
        <v>108</v>
      </c>
      <c r="H18" s="230"/>
      <c r="I18" s="230"/>
      <c r="J18" s="230"/>
      <c r="K18" s="230"/>
      <c r="L18" s="230"/>
      <c r="M18" s="230"/>
      <c r="N18" s="230"/>
      <c r="O18" s="230"/>
      <c r="P18" s="324"/>
      <c r="Q18" s="362"/>
      <c r="R18" s="467"/>
      <c r="S18" s="467"/>
      <c r="T18" s="467"/>
      <c r="U18" s="467"/>
      <c r="V18" s="324"/>
      <c r="W18" s="324"/>
      <c r="X18" s="230"/>
      <c r="Y18" s="230"/>
      <c r="Z18" s="230"/>
      <c r="AA18" s="230"/>
      <c r="AB18" s="230"/>
      <c r="AC18" s="230"/>
      <c r="AD18" s="230"/>
    </row>
    <row r="19" spans="1:30">
      <c r="A19" s="641" t="s">
        <v>246</v>
      </c>
      <c r="B19" s="644" t="s">
        <v>247</v>
      </c>
      <c r="C19" s="642" t="s">
        <v>142</v>
      </c>
      <c r="D19" s="1069">
        <v>1990</v>
      </c>
      <c r="E19" s="643">
        <v>500</v>
      </c>
      <c r="F19" s="645" t="str">
        <f>IF($C19="","",IF($C19="CNG Buses", "scf", IF($C19="CNG Heavy-Duty Vehicles", "scf", IF($C19="CNG Light-Duty Vehicles","scf","gal"))))</f>
        <v>gal</v>
      </c>
      <c r="G19" s="646">
        <f>E19*E60</f>
        <v>3669.7585259990001</v>
      </c>
      <c r="H19" s="230"/>
      <c r="I19" s="230"/>
      <c r="J19" s="230"/>
      <c r="K19" s="230"/>
      <c r="L19" s="230"/>
      <c r="M19" s="230"/>
      <c r="N19" s="230"/>
      <c r="O19" s="230"/>
      <c r="P19" s="324"/>
      <c r="Q19" s="324"/>
      <c r="R19" s="324"/>
      <c r="S19" s="324"/>
      <c r="T19" s="324"/>
      <c r="U19" s="324"/>
      <c r="V19" s="324"/>
      <c r="W19" s="324"/>
      <c r="X19" s="230"/>
      <c r="Y19" s="230"/>
      <c r="Z19" s="230"/>
      <c r="AA19" s="230"/>
      <c r="AB19" s="230"/>
      <c r="AC19" s="230"/>
      <c r="AD19" s="230"/>
    </row>
    <row r="20" spans="1:30">
      <c r="A20" s="1116" t="s">
        <v>1395</v>
      </c>
      <c r="B20" s="1117" t="s">
        <v>1394</v>
      </c>
      <c r="C20" s="251" t="s">
        <v>1302</v>
      </c>
      <c r="D20" s="38"/>
      <c r="E20" s="107"/>
      <c r="F20" s="286"/>
      <c r="G20" s="601"/>
      <c r="H20" s="230"/>
      <c r="I20" s="230"/>
      <c r="J20" s="230"/>
      <c r="K20" s="230"/>
      <c r="L20" s="230"/>
      <c r="M20" s="230"/>
      <c r="N20" s="230"/>
      <c r="O20" s="230"/>
      <c r="P20" s="324"/>
      <c r="Q20" s="324"/>
      <c r="R20" s="324"/>
      <c r="S20" s="324"/>
      <c r="T20" s="324"/>
      <c r="U20" s="324"/>
      <c r="V20" s="324"/>
      <c r="W20" s="324"/>
      <c r="X20" s="230"/>
      <c r="Y20" s="230"/>
      <c r="Z20" s="230"/>
      <c r="AA20" s="230"/>
      <c r="AB20" s="230"/>
      <c r="AC20" s="230"/>
      <c r="AD20" s="230"/>
    </row>
    <row r="21" spans="1:30">
      <c r="A21" s="98"/>
      <c r="B21" s="120"/>
      <c r="C21" s="251"/>
      <c r="D21" s="38"/>
      <c r="E21" s="107"/>
      <c r="F21" s="263" t="str">
        <f t="shared" ref="F21:F54" si="0">IF($C21="","",IF($C21="CNG Buses", "scf", IF($C21="CNG Heavy-Duty Vehicles", "scf", IF($C21="CNG Light-Duty Vehicles","scf","gal"))))</f>
        <v/>
      </c>
      <c r="G21" s="601"/>
      <c r="H21" s="230"/>
      <c r="I21" s="230"/>
      <c r="J21" s="230"/>
      <c r="K21" s="230"/>
      <c r="L21" s="230"/>
      <c r="M21" s="230"/>
      <c r="N21" s="230"/>
      <c r="O21" s="230"/>
      <c r="P21" s="324"/>
      <c r="Q21" s="324"/>
      <c r="R21" s="324"/>
      <c r="S21" s="324"/>
      <c r="T21" s="324"/>
      <c r="U21" s="324"/>
      <c r="V21" s="324"/>
      <c r="W21" s="324"/>
      <c r="X21" s="230"/>
      <c r="Y21" s="230"/>
      <c r="Z21" s="230"/>
      <c r="AA21" s="230"/>
      <c r="AB21" s="230"/>
      <c r="AC21" s="230"/>
      <c r="AD21" s="230"/>
    </row>
    <row r="22" spans="1:30">
      <c r="A22" s="98"/>
      <c r="B22" s="120"/>
      <c r="C22" s="251"/>
      <c r="D22" s="38"/>
      <c r="E22" s="107"/>
      <c r="F22" s="263" t="str">
        <f>IF($C22="","",IF($C22="CNG Buses", "scf", IF($C22="CNG Heavy-Duty Vehicles", "scf", IF($C22="CNG Light-Duty Vehicles","scf","gal"))))</f>
        <v/>
      </c>
      <c r="G22" s="601"/>
      <c r="H22" s="230"/>
      <c r="I22" s="230"/>
      <c r="J22" s="230"/>
      <c r="K22" s="230"/>
      <c r="L22" s="230"/>
      <c r="M22" s="230"/>
      <c r="N22" s="230"/>
      <c r="O22" s="230"/>
      <c r="P22" s="324"/>
      <c r="Q22" s="324"/>
      <c r="R22" s="324"/>
      <c r="S22" s="324"/>
      <c r="T22" s="324"/>
      <c r="U22" s="324"/>
      <c r="V22" s="324"/>
      <c r="W22" s="324"/>
      <c r="X22" s="230"/>
      <c r="Y22" s="230"/>
      <c r="Z22" s="230"/>
      <c r="AA22" s="230"/>
      <c r="AB22" s="230"/>
      <c r="AC22" s="230"/>
      <c r="AD22" s="230"/>
    </row>
    <row r="23" spans="1:30">
      <c r="A23" s="98"/>
      <c r="B23" s="120"/>
      <c r="C23" s="251"/>
      <c r="D23" s="38"/>
      <c r="E23" s="107"/>
      <c r="F23" s="263" t="str">
        <f t="shared" si="0"/>
        <v/>
      </c>
      <c r="G23" s="601"/>
      <c r="H23" s="230"/>
      <c r="I23" s="230"/>
      <c r="J23" s="230"/>
      <c r="K23" s="230"/>
      <c r="L23" s="230"/>
      <c r="M23" s="230"/>
      <c r="N23" s="230"/>
      <c r="O23" s="230"/>
      <c r="P23" s="324"/>
      <c r="Q23" s="324"/>
      <c r="R23" s="324"/>
      <c r="S23" s="324"/>
      <c r="T23" s="324"/>
      <c r="U23" s="324"/>
      <c r="V23" s="324"/>
      <c r="W23" s="324"/>
      <c r="X23" s="230"/>
      <c r="Y23" s="230"/>
      <c r="Z23" s="230"/>
      <c r="AA23" s="230"/>
      <c r="AB23" s="230"/>
      <c r="AC23" s="230"/>
      <c r="AD23" s="230"/>
    </row>
    <row r="24" spans="1:30">
      <c r="A24" s="98"/>
      <c r="B24" s="120"/>
      <c r="C24" s="251"/>
      <c r="D24" s="38"/>
      <c r="E24" s="107"/>
      <c r="F24" s="263" t="str">
        <f t="shared" si="0"/>
        <v/>
      </c>
      <c r="G24" s="601"/>
      <c r="H24" s="230"/>
      <c r="I24" s="230"/>
      <c r="J24" s="230"/>
      <c r="K24" s="230"/>
      <c r="L24" s="230"/>
      <c r="M24" s="230"/>
      <c r="N24" s="230"/>
      <c r="O24" s="230"/>
      <c r="P24" s="324"/>
      <c r="Q24" s="324"/>
      <c r="R24" s="324"/>
      <c r="S24" s="324"/>
      <c r="T24" s="324"/>
      <c r="U24" s="324"/>
      <c r="V24" s="324"/>
      <c r="W24" s="324"/>
      <c r="X24" s="230"/>
      <c r="Y24" s="230"/>
      <c r="Z24" s="230"/>
      <c r="AA24" s="230"/>
      <c r="AB24" s="230"/>
      <c r="AC24" s="230"/>
      <c r="AD24" s="230"/>
    </row>
    <row r="25" spans="1:30">
      <c r="A25" s="98"/>
      <c r="B25" s="120"/>
      <c r="C25" s="251"/>
      <c r="D25" s="38"/>
      <c r="E25" s="107"/>
      <c r="F25" s="263" t="str">
        <f t="shared" si="0"/>
        <v/>
      </c>
      <c r="G25" s="601"/>
      <c r="H25" s="230"/>
      <c r="I25" s="230"/>
      <c r="J25" s="230"/>
      <c r="K25" s="230"/>
      <c r="L25" s="230"/>
      <c r="M25" s="230"/>
      <c r="N25" s="230"/>
      <c r="O25" s="230"/>
      <c r="P25" s="324"/>
      <c r="Q25" s="324"/>
      <c r="R25" s="324"/>
      <c r="S25" s="324"/>
      <c r="T25" s="324"/>
      <c r="U25" s="324"/>
      <c r="V25" s="324"/>
      <c r="W25" s="324"/>
      <c r="X25" s="230"/>
      <c r="Y25" s="230"/>
      <c r="Z25" s="230"/>
      <c r="AA25" s="230"/>
      <c r="AB25" s="230"/>
      <c r="AC25" s="230"/>
      <c r="AD25" s="230"/>
    </row>
    <row r="26" spans="1:30">
      <c r="A26" s="98"/>
      <c r="B26" s="120"/>
      <c r="C26" s="251"/>
      <c r="D26" s="38"/>
      <c r="E26" s="107"/>
      <c r="F26" s="263" t="str">
        <f t="shared" si="0"/>
        <v/>
      </c>
      <c r="G26" s="601"/>
      <c r="H26" s="230"/>
      <c r="I26" s="230"/>
      <c r="J26" s="230"/>
      <c r="K26" s="230"/>
      <c r="L26" s="230"/>
      <c r="M26" s="230"/>
      <c r="N26" s="230"/>
      <c r="O26" s="230"/>
      <c r="P26" s="324"/>
      <c r="Q26" s="324"/>
      <c r="R26" s="324"/>
      <c r="S26" s="324"/>
      <c r="T26" s="324"/>
      <c r="U26" s="324"/>
      <c r="V26" s="324"/>
      <c r="W26" s="324"/>
      <c r="X26" s="230"/>
      <c r="Y26" s="230"/>
      <c r="Z26" s="230"/>
      <c r="AA26" s="230"/>
      <c r="AB26" s="230"/>
      <c r="AC26" s="230"/>
      <c r="AD26" s="230"/>
    </row>
    <row r="27" spans="1:30" ht="13.5" customHeight="1">
      <c r="A27" s="98"/>
      <c r="B27" s="120"/>
      <c r="C27" s="251"/>
      <c r="D27" s="38"/>
      <c r="E27" s="107"/>
      <c r="F27" s="263" t="str">
        <f t="shared" si="0"/>
        <v/>
      </c>
      <c r="G27" s="601"/>
      <c r="H27" s="230"/>
      <c r="I27" s="230"/>
      <c r="J27" s="230"/>
      <c r="K27" s="230"/>
      <c r="L27" s="230"/>
      <c r="M27" s="230"/>
      <c r="N27" s="230"/>
      <c r="O27" s="230"/>
      <c r="P27" s="324"/>
      <c r="Q27" s="324"/>
      <c r="R27" s="324"/>
      <c r="S27" s="324"/>
      <c r="T27" s="324"/>
      <c r="U27" s="324"/>
      <c r="V27" s="324"/>
      <c r="W27" s="324"/>
      <c r="X27" s="230"/>
      <c r="Y27" s="230"/>
      <c r="Z27" s="230"/>
      <c r="AA27" s="230"/>
      <c r="AB27" s="230"/>
      <c r="AC27" s="230"/>
      <c r="AD27" s="230"/>
    </row>
    <row r="28" spans="1:30">
      <c r="A28" s="98"/>
      <c r="B28" s="120"/>
      <c r="C28" s="251"/>
      <c r="D28" s="38"/>
      <c r="E28" s="107"/>
      <c r="F28" s="263" t="str">
        <f t="shared" si="0"/>
        <v/>
      </c>
      <c r="G28" s="601"/>
      <c r="H28" s="230"/>
      <c r="I28" s="230"/>
      <c r="J28" s="230"/>
      <c r="K28" s="230"/>
      <c r="L28" s="230"/>
      <c r="M28" s="230"/>
      <c r="N28" s="230"/>
      <c r="O28" s="230"/>
      <c r="P28" s="324"/>
      <c r="Q28" s="324"/>
      <c r="R28" s="324"/>
      <c r="S28" s="324"/>
      <c r="T28" s="324"/>
      <c r="U28" s="324"/>
      <c r="V28" s="324"/>
      <c r="W28" s="324"/>
      <c r="X28" s="230"/>
      <c r="Y28" s="230"/>
      <c r="Z28" s="230"/>
      <c r="AA28" s="230"/>
      <c r="AB28" s="230"/>
      <c r="AC28" s="230"/>
      <c r="AD28" s="230"/>
    </row>
    <row r="29" spans="1:30">
      <c r="A29" s="98"/>
      <c r="B29" s="120"/>
      <c r="C29" s="251"/>
      <c r="D29" s="38"/>
      <c r="E29" s="107"/>
      <c r="F29" s="263" t="str">
        <f t="shared" si="0"/>
        <v/>
      </c>
      <c r="G29" s="601"/>
      <c r="H29" s="230"/>
      <c r="I29" s="230"/>
      <c r="J29" s="230"/>
      <c r="K29" s="230"/>
      <c r="L29" s="230"/>
      <c r="M29" s="230"/>
      <c r="N29" s="230"/>
      <c r="O29" s="230"/>
      <c r="P29" s="324"/>
      <c r="Q29" s="324"/>
      <c r="R29" s="324"/>
      <c r="S29" s="324"/>
      <c r="T29" s="324"/>
      <c r="U29" s="324"/>
      <c r="V29" s="324"/>
      <c r="W29" s="324"/>
      <c r="X29" s="230"/>
      <c r="Y29" s="230"/>
      <c r="Z29" s="230"/>
      <c r="AA29" s="230"/>
      <c r="AB29" s="230"/>
      <c r="AC29" s="230"/>
      <c r="AD29" s="230"/>
    </row>
    <row r="30" spans="1:30">
      <c r="A30" s="98"/>
      <c r="B30" s="120"/>
      <c r="C30" s="251"/>
      <c r="D30" s="38"/>
      <c r="E30" s="107"/>
      <c r="F30" s="263" t="str">
        <f t="shared" si="0"/>
        <v/>
      </c>
      <c r="G30" s="601"/>
      <c r="H30" s="230"/>
      <c r="I30" s="230"/>
      <c r="J30" s="230"/>
      <c r="K30" s="230"/>
      <c r="L30" s="230"/>
      <c r="M30" s="230"/>
      <c r="N30" s="230"/>
      <c r="O30" s="230"/>
      <c r="P30" s="324"/>
      <c r="Q30" s="324"/>
      <c r="R30" s="324"/>
      <c r="S30" s="324"/>
      <c r="T30" s="324"/>
      <c r="U30" s="324"/>
      <c r="V30" s="324"/>
      <c r="W30" s="324"/>
      <c r="X30" s="230"/>
      <c r="Y30" s="230"/>
      <c r="Z30" s="230"/>
      <c r="AA30" s="230"/>
      <c r="AB30" s="230"/>
      <c r="AC30" s="230"/>
      <c r="AD30" s="230"/>
    </row>
    <row r="31" spans="1:30">
      <c r="A31" s="98"/>
      <c r="B31" s="120"/>
      <c r="C31" s="251"/>
      <c r="D31" s="38"/>
      <c r="E31" s="107"/>
      <c r="F31" s="263" t="str">
        <f t="shared" si="0"/>
        <v/>
      </c>
      <c r="G31" s="601"/>
      <c r="H31" s="230"/>
      <c r="I31" s="230"/>
      <c r="J31" s="230"/>
      <c r="K31" s="230"/>
      <c r="L31" s="230"/>
      <c r="M31" s="230"/>
      <c r="N31" s="230"/>
      <c r="O31" s="230"/>
      <c r="P31" s="324"/>
      <c r="Q31" s="324"/>
      <c r="R31" s="324"/>
      <c r="S31" s="324"/>
      <c r="T31" s="324"/>
      <c r="U31" s="324"/>
      <c r="V31" s="324"/>
      <c r="W31" s="324"/>
      <c r="X31" s="230"/>
      <c r="Y31" s="230"/>
      <c r="Z31" s="230"/>
      <c r="AA31" s="230"/>
      <c r="AB31" s="230"/>
      <c r="AC31" s="230"/>
      <c r="AD31" s="230"/>
    </row>
    <row r="32" spans="1:30">
      <c r="A32" s="98"/>
      <c r="B32" s="120"/>
      <c r="C32" s="251"/>
      <c r="D32" s="38"/>
      <c r="E32" s="107"/>
      <c r="F32" s="263" t="str">
        <f t="shared" si="0"/>
        <v/>
      </c>
      <c r="G32" s="601"/>
      <c r="H32" s="230"/>
      <c r="I32" s="230"/>
      <c r="J32" s="230"/>
      <c r="K32" s="230"/>
      <c r="L32" s="230"/>
      <c r="M32" s="230"/>
      <c r="N32" s="230"/>
      <c r="O32" s="230"/>
      <c r="P32" s="324"/>
      <c r="Q32" s="324"/>
      <c r="R32" s="324"/>
      <c r="S32" s="324"/>
      <c r="T32" s="324"/>
      <c r="U32" s="324"/>
      <c r="V32" s="324"/>
      <c r="W32" s="324"/>
      <c r="X32" s="230"/>
      <c r="Y32" s="230"/>
      <c r="Z32" s="230"/>
      <c r="AA32" s="230"/>
      <c r="AB32" s="230"/>
      <c r="AC32" s="230"/>
      <c r="AD32" s="230"/>
    </row>
    <row r="33" spans="1:30">
      <c r="A33" s="98"/>
      <c r="B33" s="120"/>
      <c r="C33" s="251"/>
      <c r="D33" s="38"/>
      <c r="E33" s="107"/>
      <c r="F33" s="263" t="str">
        <f t="shared" si="0"/>
        <v/>
      </c>
      <c r="G33" s="601"/>
      <c r="H33" s="230"/>
      <c r="I33" s="230"/>
      <c r="J33" s="230"/>
      <c r="K33" s="230"/>
      <c r="L33" s="230"/>
      <c r="M33" s="230"/>
      <c r="N33" s="230"/>
      <c r="O33" s="230"/>
      <c r="P33" s="324"/>
      <c r="Q33" s="324"/>
      <c r="R33" s="324"/>
      <c r="S33" s="324"/>
      <c r="T33" s="324"/>
      <c r="U33" s="324"/>
      <c r="V33" s="324"/>
      <c r="W33" s="324"/>
      <c r="X33" s="230"/>
      <c r="Y33" s="230"/>
      <c r="Z33" s="230"/>
      <c r="AA33" s="230"/>
      <c r="AB33" s="230"/>
      <c r="AC33" s="230"/>
      <c r="AD33" s="230"/>
    </row>
    <row r="34" spans="1:30">
      <c r="A34" s="98"/>
      <c r="B34" s="120"/>
      <c r="C34" s="251"/>
      <c r="D34" s="38"/>
      <c r="E34" s="107"/>
      <c r="F34" s="263" t="str">
        <f t="shared" si="0"/>
        <v/>
      </c>
      <c r="G34" s="601"/>
      <c r="H34" s="230"/>
      <c r="I34" s="230"/>
      <c r="J34" s="230"/>
      <c r="K34" s="230"/>
      <c r="L34" s="230"/>
      <c r="M34" s="230"/>
      <c r="N34" s="230"/>
      <c r="O34" s="230"/>
      <c r="P34" s="324"/>
      <c r="Q34" s="324"/>
      <c r="R34" s="324"/>
      <c r="S34" s="324"/>
      <c r="T34" s="324"/>
      <c r="U34" s="324"/>
      <c r="V34" s="324"/>
      <c r="W34" s="324"/>
      <c r="X34" s="230"/>
      <c r="Y34" s="230"/>
      <c r="Z34" s="230"/>
      <c r="AA34" s="230"/>
      <c r="AB34" s="230"/>
      <c r="AC34" s="230"/>
      <c r="AD34" s="230"/>
    </row>
    <row r="35" spans="1:30">
      <c r="A35" s="98"/>
      <c r="B35" s="120"/>
      <c r="C35" s="251"/>
      <c r="D35" s="38"/>
      <c r="E35" s="107"/>
      <c r="F35" s="263" t="str">
        <f t="shared" si="0"/>
        <v/>
      </c>
      <c r="G35" s="601"/>
      <c r="H35" s="230"/>
      <c r="I35" s="230"/>
      <c r="J35" s="230"/>
      <c r="K35" s="230"/>
      <c r="L35" s="230"/>
      <c r="M35" s="230"/>
      <c r="N35" s="230"/>
      <c r="O35" s="230"/>
      <c r="P35" s="324"/>
      <c r="Q35" s="324"/>
      <c r="R35" s="324"/>
      <c r="S35" s="324"/>
      <c r="T35" s="324"/>
      <c r="U35" s="324"/>
      <c r="V35" s="324"/>
      <c r="W35" s="324"/>
      <c r="X35" s="230"/>
      <c r="Y35" s="230"/>
      <c r="Z35" s="230"/>
      <c r="AA35" s="230"/>
      <c r="AB35" s="230"/>
      <c r="AC35" s="230"/>
      <c r="AD35" s="230"/>
    </row>
    <row r="36" spans="1:30">
      <c r="A36" s="98"/>
      <c r="B36" s="120"/>
      <c r="C36" s="251"/>
      <c r="D36" s="38"/>
      <c r="E36" s="107"/>
      <c r="F36" s="263" t="str">
        <f t="shared" si="0"/>
        <v/>
      </c>
      <c r="G36" s="601"/>
      <c r="H36" s="230"/>
      <c r="I36" s="230"/>
      <c r="J36" s="230"/>
      <c r="K36" s="230"/>
      <c r="L36" s="230"/>
      <c r="M36" s="230"/>
      <c r="N36" s="230"/>
      <c r="O36" s="230"/>
      <c r="P36" s="324"/>
      <c r="Q36" s="324"/>
      <c r="R36" s="324"/>
      <c r="S36" s="324"/>
      <c r="T36" s="324"/>
      <c r="U36" s="324"/>
      <c r="V36" s="324"/>
      <c r="W36" s="324"/>
      <c r="X36" s="230"/>
      <c r="Y36" s="230"/>
      <c r="Z36" s="230"/>
      <c r="AA36" s="230"/>
      <c r="AB36" s="230"/>
      <c r="AC36" s="230"/>
      <c r="AD36" s="230"/>
    </row>
    <row r="37" spans="1:30">
      <c r="A37" s="98"/>
      <c r="B37" s="120"/>
      <c r="C37" s="251"/>
      <c r="D37" s="38"/>
      <c r="E37" s="107"/>
      <c r="F37" s="263" t="str">
        <f t="shared" si="0"/>
        <v/>
      </c>
      <c r="G37" s="601"/>
      <c r="H37" s="230"/>
      <c r="I37" s="230"/>
      <c r="J37" s="230"/>
      <c r="K37" s="230"/>
      <c r="L37" s="230"/>
      <c r="M37" s="230"/>
      <c r="N37" s="230"/>
      <c r="O37" s="230"/>
      <c r="P37" s="324"/>
      <c r="Q37" s="324"/>
      <c r="R37" s="324"/>
      <c r="S37" s="324"/>
      <c r="T37" s="324"/>
      <c r="U37" s="324"/>
      <c r="V37" s="324"/>
      <c r="W37" s="324"/>
      <c r="X37" s="230"/>
      <c r="Y37" s="230"/>
      <c r="Z37" s="230"/>
      <c r="AA37" s="230"/>
      <c r="AB37" s="230"/>
      <c r="AC37" s="230"/>
      <c r="AD37" s="230"/>
    </row>
    <row r="38" spans="1:30">
      <c r="A38" s="98"/>
      <c r="B38" s="120"/>
      <c r="C38" s="251"/>
      <c r="D38" s="38"/>
      <c r="E38" s="107"/>
      <c r="F38" s="263" t="str">
        <f t="shared" si="0"/>
        <v/>
      </c>
      <c r="G38" s="601"/>
      <c r="H38" s="230"/>
      <c r="I38" s="230"/>
      <c r="J38" s="230"/>
      <c r="K38" s="230"/>
      <c r="L38" s="230"/>
      <c r="M38" s="230"/>
      <c r="N38" s="230"/>
      <c r="O38" s="230"/>
      <c r="P38" s="324"/>
      <c r="Q38" s="324"/>
      <c r="R38" s="324"/>
      <c r="S38" s="324"/>
      <c r="T38" s="324"/>
      <c r="U38" s="324"/>
      <c r="V38" s="324"/>
      <c r="W38" s="324"/>
      <c r="X38" s="230"/>
      <c r="Y38" s="230"/>
      <c r="Z38" s="230"/>
      <c r="AA38" s="230"/>
      <c r="AB38" s="230"/>
      <c r="AC38" s="230"/>
      <c r="AD38" s="230"/>
    </row>
    <row r="39" spans="1:30">
      <c r="A39" s="98"/>
      <c r="B39" s="120"/>
      <c r="C39" s="251"/>
      <c r="D39" s="38"/>
      <c r="E39" s="107"/>
      <c r="F39" s="263" t="str">
        <f t="shared" si="0"/>
        <v/>
      </c>
      <c r="G39" s="601"/>
      <c r="H39" s="230"/>
      <c r="I39" s="230"/>
      <c r="J39" s="230"/>
      <c r="K39" s="230"/>
      <c r="L39" s="230"/>
      <c r="M39" s="230"/>
      <c r="N39" s="230"/>
      <c r="O39" s="230"/>
      <c r="P39" s="324"/>
      <c r="Q39" s="324"/>
      <c r="R39" s="324"/>
      <c r="S39" s="324"/>
      <c r="T39" s="324"/>
      <c r="U39" s="324"/>
      <c r="V39" s="324"/>
      <c r="W39" s="324"/>
      <c r="X39" s="230"/>
      <c r="Y39" s="230"/>
      <c r="Z39" s="230"/>
      <c r="AA39" s="230"/>
      <c r="AB39" s="230"/>
      <c r="AC39" s="230"/>
      <c r="AD39" s="230"/>
    </row>
    <row r="40" spans="1:30">
      <c r="A40" s="98"/>
      <c r="B40" s="120"/>
      <c r="C40" s="251"/>
      <c r="D40" s="38"/>
      <c r="E40" s="107"/>
      <c r="F40" s="263" t="str">
        <f t="shared" si="0"/>
        <v/>
      </c>
      <c r="G40" s="601"/>
      <c r="H40" s="230"/>
      <c r="I40" s="230"/>
      <c r="J40" s="230"/>
      <c r="K40" s="230"/>
      <c r="L40" s="230"/>
      <c r="M40" s="230"/>
      <c r="N40" s="230"/>
      <c r="O40" s="230"/>
      <c r="P40" s="324"/>
      <c r="Q40" s="324"/>
      <c r="R40" s="324"/>
      <c r="S40" s="324"/>
      <c r="T40" s="324"/>
      <c r="U40" s="324"/>
      <c r="V40" s="324"/>
      <c r="W40" s="324"/>
      <c r="X40" s="230"/>
      <c r="Y40" s="230"/>
      <c r="Z40" s="230"/>
      <c r="AA40" s="230"/>
      <c r="AB40" s="230"/>
      <c r="AC40" s="230"/>
      <c r="AD40" s="230"/>
    </row>
    <row r="41" spans="1:30">
      <c r="A41" s="98"/>
      <c r="B41" s="120"/>
      <c r="C41" s="251"/>
      <c r="D41" s="38"/>
      <c r="E41" s="107"/>
      <c r="F41" s="263" t="str">
        <f t="shared" si="0"/>
        <v/>
      </c>
      <c r="G41" s="601"/>
      <c r="H41" s="230"/>
      <c r="I41" s="230"/>
      <c r="J41" s="230"/>
      <c r="K41" s="230"/>
      <c r="L41" s="230"/>
      <c r="M41" s="230"/>
      <c r="N41" s="230"/>
      <c r="O41" s="230"/>
      <c r="P41" s="324"/>
      <c r="Q41" s="324"/>
      <c r="R41" s="324"/>
      <c r="S41" s="324"/>
      <c r="T41" s="324"/>
      <c r="U41" s="324"/>
      <c r="V41" s="324"/>
      <c r="W41" s="324"/>
      <c r="X41" s="230"/>
      <c r="Y41" s="230"/>
      <c r="Z41" s="230"/>
      <c r="AA41" s="230"/>
      <c r="AB41" s="230"/>
      <c r="AC41" s="230"/>
      <c r="AD41" s="230"/>
    </row>
    <row r="42" spans="1:30">
      <c r="A42" s="98"/>
      <c r="B42" s="120"/>
      <c r="C42" s="251"/>
      <c r="D42" s="38"/>
      <c r="E42" s="107"/>
      <c r="F42" s="263" t="str">
        <f>IF($C42="","",IF($C42="CNG Buses", "scf", IF($C42="CNG Heavy-Duty Vehicles", "scf", IF($C42="CNG Light-Duty Vehicles","scf","gal"))))</f>
        <v/>
      </c>
      <c r="G42" s="601"/>
      <c r="H42" s="230"/>
      <c r="I42" s="230"/>
      <c r="J42" s="230"/>
      <c r="K42" s="230"/>
      <c r="L42" s="230"/>
      <c r="M42" s="230"/>
      <c r="N42" s="230"/>
      <c r="O42" s="230"/>
      <c r="P42" s="324"/>
      <c r="Q42" s="324"/>
      <c r="R42" s="324"/>
      <c r="S42" s="324"/>
      <c r="T42" s="324"/>
      <c r="U42" s="324"/>
      <c r="V42" s="324"/>
      <c r="W42" s="324"/>
      <c r="X42" s="230"/>
      <c r="Y42" s="230"/>
      <c r="Z42" s="230"/>
      <c r="AA42" s="230"/>
      <c r="AB42" s="230"/>
      <c r="AC42" s="230"/>
      <c r="AD42" s="230"/>
    </row>
    <row r="43" spans="1:30">
      <c r="A43" s="98"/>
      <c r="B43" s="120"/>
      <c r="C43" s="251"/>
      <c r="D43" s="38"/>
      <c r="E43" s="107"/>
      <c r="F43" s="263" t="str">
        <f t="shared" si="0"/>
        <v/>
      </c>
      <c r="G43" s="601"/>
      <c r="H43" s="230"/>
      <c r="I43" s="230"/>
      <c r="J43" s="230"/>
      <c r="K43" s="230"/>
      <c r="L43" s="230"/>
      <c r="M43" s="230"/>
      <c r="N43" s="230"/>
      <c r="O43" s="230"/>
      <c r="P43" s="324"/>
      <c r="Q43" s="324"/>
      <c r="R43" s="324"/>
      <c r="S43" s="324"/>
      <c r="T43" s="324"/>
      <c r="U43" s="324"/>
      <c r="V43" s="324"/>
      <c r="W43" s="324"/>
      <c r="X43" s="230"/>
      <c r="Y43" s="230"/>
      <c r="Z43" s="230"/>
      <c r="AA43" s="230"/>
      <c r="AB43" s="230"/>
      <c r="AC43" s="230"/>
      <c r="AD43" s="230"/>
    </row>
    <row r="44" spans="1:30">
      <c r="A44" s="98"/>
      <c r="B44" s="120"/>
      <c r="C44" s="251"/>
      <c r="D44" s="38"/>
      <c r="E44" s="107"/>
      <c r="F44" s="263" t="str">
        <f t="shared" si="0"/>
        <v/>
      </c>
      <c r="G44" s="601"/>
      <c r="H44" s="230"/>
      <c r="I44" s="230"/>
      <c r="J44" s="230"/>
      <c r="K44" s="230"/>
      <c r="L44" s="230"/>
      <c r="M44" s="230"/>
      <c r="N44" s="230"/>
      <c r="O44" s="230"/>
      <c r="P44" s="324"/>
      <c r="Q44" s="324"/>
      <c r="R44" s="324"/>
      <c r="S44" s="324"/>
      <c r="T44" s="324"/>
      <c r="U44" s="324"/>
      <c r="V44" s="324"/>
      <c r="W44" s="324"/>
      <c r="X44" s="230"/>
      <c r="Y44" s="230"/>
      <c r="Z44" s="230"/>
      <c r="AA44" s="230"/>
      <c r="AB44" s="230"/>
      <c r="AC44" s="230"/>
      <c r="AD44" s="230"/>
    </row>
    <row r="45" spans="1:30">
      <c r="A45" s="98"/>
      <c r="B45" s="120"/>
      <c r="C45" s="251"/>
      <c r="D45" s="38"/>
      <c r="E45" s="107"/>
      <c r="F45" s="263" t="str">
        <f t="shared" si="0"/>
        <v/>
      </c>
      <c r="G45" s="601"/>
      <c r="H45" s="230"/>
      <c r="I45" s="230"/>
      <c r="J45" s="230"/>
      <c r="K45" s="230"/>
      <c r="L45" s="230"/>
      <c r="M45" s="230"/>
      <c r="N45" s="230"/>
      <c r="O45" s="230"/>
      <c r="P45" s="324"/>
      <c r="Q45" s="324"/>
      <c r="R45" s="324"/>
      <c r="S45" s="324"/>
      <c r="T45" s="324"/>
      <c r="U45" s="324"/>
      <c r="V45" s="324"/>
      <c r="W45" s="324"/>
      <c r="X45" s="230"/>
      <c r="Y45" s="230"/>
      <c r="Z45" s="230"/>
      <c r="AA45" s="230"/>
      <c r="AB45" s="230"/>
      <c r="AC45" s="230"/>
      <c r="AD45" s="230"/>
    </row>
    <row r="46" spans="1:30">
      <c r="A46" s="98"/>
      <c r="B46" s="120"/>
      <c r="C46" s="251"/>
      <c r="D46" s="38"/>
      <c r="E46" s="107"/>
      <c r="F46" s="227" t="str">
        <f t="shared" si="0"/>
        <v/>
      </c>
      <c r="G46" s="601"/>
      <c r="H46" s="230"/>
      <c r="I46" s="230"/>
      <c r="J46" s="230"/>
      <c r="K46" s="230"/>
      <c r="L46" s="230"/>
      <c r="M46" s="230"/>
      <c r="N46" s="230"/>
      <c r="O46" s="230"/>
      <c r="P46" s="324"/>
      <c r="Q46" s="324"/>
      <c r="R46" s="324"/>
      <c r="S46" s="324"/>
      <c r="T46" s="324"/>
      <c r="U46" s="324"/>
      <c r="V46" s="324"/>
      <c r="W46" s="324"/>
      <c r="X46" s="230"/>
      <c r="Y46" s="230"/>
      <c r="Z46" s="230"/>
      <c r="AA46" s="230"/>
      <c r="AB46" s="230"/>
      <c r="AC46" s="230"/>
      <c r="AD46" s="230"/>
    </row>
    <row r="47" spans="1:30">
      <c r="A47" s="98"/>
      <c r="B47" s="120"/>
      <c r="C47" s="251"/>
      <c r="D47" s="38"/>
      <c r="E47" s="107"/>
      <c r="F47" s="227" t="str">
        <f t="shared" si="0"/>
        <v/>
      </c>
      <c r="G47" s="601"/>
      <c r="H47" s="230"/>
      <c r="I47" s="230"/>
      <c r="J47" s="230"/>
      <c r="K47" s="230"/>
      <c r="L47" s="230"/>
      <c r="M47" s="230"/>
      <c r="N47" s="230"/>
      <c r="O47" s="230"/>
      <c r="P47" s="324"/>
      <c r="Q47" s="324"/>
      <c r="R47" s="324"/>
      <c r="S47" s="324"/>
      <c r="T47" s="324"/>
      <c r="U47" s="324"/>
      <c r="V47" s="324"/>
      <c r="W47" s="324"/>
      <c r="X47" s="230"/>
      <c r="Y47" s="230"/>
      <c r="Z47" s="230"/>
      <c r="AA47" s="230"/>
      <c r="AB47" s="230"/>
      <c r="AC47" s="230"/>
      <c r="AD47" s="230"/>
    </row>
    <row r="48" spans="1:30">
      <c r="A48" s="98"/>
      <c r="B48" s="120"/>
      <c r="C48" s="251"/>
      <c r="D48" s="38"/>
      <c r="E48" s="107"/>
      <c r="F48" s="227" t="str">
        <f t="shared" si="0"/>
        <v/>
      </c>
      <c r="G48" s="601"/>
      <c r="H48" s="230"/>
      <c r="I48" s="230"/>
      <c r="J48" s="230"/>
      <c r="K48" s="230"/>
      <c r="L48" s="230"/>
      <c r="M48" s="230"/>
      <c r="N48" s="230"/>
      <c r="O48" s="230"/>
      <c r="P48" s="324"/>
      <c r="Q48" s="324"/>
      <c r="R48" s="324"/>
      <c r="S48" s="324"/>
      <c r="T48" s="324"/>
      <c r="U48" s="324"/>
      <c r="V48" s="324"/>
      <c r="W48" s="324"/>
      <c r="X48" s="230"/>
      <c r="Y48" s="230"/>
      <c r="Z48" s="230"/>
      <c r="AA48" s="230"/>
      <c r="AB48" s="230"/>
      <c r="AC48" s="230"/>
      <c r="AD48" s="230"/>
    </row>
    <row r="49" spans="1:30">
      <c r="A49" s="98"/>
      <c r="B49" s="120"/>
      <c r="C49" s="251"/>
      <c r="D49" s="38"/>
      <c r="E49" s="107"/>
      <c r="F49" s="227" t="str">
        <f t="shared" si="0"/>
        <v/>
      </c>
      <c r="G49" s="601"/>
      <c r="H49" s="230"/>
      <c r="I49" s="230"/>
      <c r="J49" s="230"/>
      <c r="K49" s="230"/>
      <c r="L49" s="230"/>
      <c r="M49" s="230"/>
      <c r="N49" s="230"/>
      <c r="O49" s="230"/>
      <c r="P49" s="324"/>
      <c r="Q49" s="324"/>
      <c r="R49" s="324"/>
      <c r="S49" s="324"/>
      <c r="T49" s="324"/>
      <c r="U49" s="324"/>
      <c r="V49" s="324"/>
      <c r="W49" s="324"/>
      <c r="X49" s="230"/>
      <c r="Y49" s="230"/>
      <c r="Z49" s="230"/>
      <c r="AA49" s="230"/>
      <c r="AB49" s="230"/>
      <c r="AC49" s="230"/>
      <c r="AD49" s="230"/>
    </row>
    <row r="50" spans="1:30">
      <c r="A50" s="98"/>
      <c r="B50" s="120"/>
      <c r="C50" s="251"/>
      <c r="D50" s="38"/>
      <c r="E50" s="107"/>
      <c r="F50" s="227" t="str">
        <f t="shared" si="0"/>
        <v/>
      </c>
      <c r="G50" s="601"/>
      <c r="H50" s="230"/>
      <c r="I50" s="230"/>
      <c r="J50" s="230"/>
      <c r="K50" s="230"/>
      <c r="L50" s="230"/>
      <c r="M50" s="230"/>
      <c r="N50" s="230"/>
      <c r="O50" s="230"/>
      <c r="P50" s="324"/>
      <c r="Q50" s="324"/>
      <c r="R50" s="324"/>
      <c r="S50" s="324"/>
      <c r="T50" s="324"/>
      <c r="U50" s="324"/>
      <c r="V50" s="324"/>
      <c r="W50" s="324"/>
      <c r="X50" s="230"/>
      <c r="Y50" s="230"/>
      <c r="Z50" s="230"/>
      <c r="AA50" s="230"/>
      <c r="AB50" s="230"/>
      <c r="AC50" s="230"/>
      <c r="AD50" s="230"/>
    </row>
    <row r="51" spans="1:30">
      <c r="A51" s="98"/>
      <c r="B51" s="120"/>
      <c r="C51" s="251"/>
      <c r="D51" s="38"/>
      <c r="E51" s="107"/>
      <c r="F51" s="227" t="str">
        <f t="shared" si="0"/>
        <v/>
      </c>
      <c r="G51" s="601"/>
      <c r="H51" s="230"/>
      <c r="I51" s="230"/>
      <c r="J51" s="230"/>
      <c r="K51" s="230"/>
      <c r="L51" s="230"/>
      <c r="M51" s="230"/>
      <c r="N51" s="230"/>
      <c r="O51" s="230"/>
      <c r="P51" s="324"/>
      <c r="Q51" s="324"/>
      <c r="R51" s="324"/>
      <c r="S51" s="324"/>
      <c r="T51" s="324"/>
      <c r="U51" s="324"/>
      <c r="V51" s="324"/>
      <c r="W51" s="324"/>
      <c r="X51" s="230"/>
      <c r="Y51" s="230"/>
      <c r="Z51" s="230"/>
      <c r="AA51" s="230"/>
      <c r="AB51" s="230"/>
      <c r="AC51" s="230"/>
      <c r="AD51" s="230"/>
    </row>
    <row r="52" spans="1:30">
      <c r="A52" s="98"/>
      <c r="B52" s="120"/>
      <c r="C52" s="251"/>
      <c r="D52" s="38"/>
      <c r="E52" s="107"/>
      <c r="F52" s="227" t="str">
        <f t="shared" si="0"/>
        <v/>
      </c>
      <c r="G52" s="601"/>
      <c r="H52" s="230"/>
      <c r="I52" s="230"/>
      <c r="J52" s="230"/>
      <c r="K52" s="230"/>
      <c r="L52" s="230"/>
      <c r="M52" s="230"/>
      <c r="N52" s="230"/>
      <c r="O52" s="230"/>
      <c r="P52" s="324"/>
      <c r="Q52" s="324"/>
      <c r="R52" s="324"/>
      <c r="S52" s="324"/>
      <c r="T52" s="324"/>
      <c r="U52" s="324"/>
      <c r="V52" s="324"/>
      <c r="W52" s="324"/>
      <c r="X52" s="230"/>
      <c r="Y52" s="230"/>
      <c r="Z52" s="230"/>
      <c r="AA52" s="230"/>
      <c r="AB52" s="230"/>
      <c r="AC52" s="230"/>
      <c r="AD52" s="230"/>
    </row>
    <row r="53" spans="1:30">
      <c r="A53" s="98"/>
      <c r="B53" s="120"/>
      <c r="C53" s="251"/>
      <c r="D53" s="38"/>
      <c r="E53" s="107"/>
      <c r="F53" s="227" t="str">
        <f t="shared" si="0"/>
        <v/>
      </c>
      <c r="G53" s="601"/>
      <c r="H53" s="230"/>
      <c r="I53" s="681"/>
      <c r="J53" s="230"/>
      <c r="K53" s="230"/>
      <c r="L53" s="230"/>
      <c r="M53" s="230"/>
      <c r="N53" s="230"/>
      <c r="O53" s="230"/>
      <c r="P53" s="324"/>
      <c r="Q53" s="324"/>
      <c r="R53" s="324"/>
      <c r="S53" s="324"/>
      <c r="T53" s="324"/>
      <c r="U53" s="324"/>
      <c r="V53" s="324"/>
      <c r="W53" s="324"/>
      <c r="X53" s="230"/>
      <c r="Y53" s="230"/>
      <c r="Z53" s="230"/>
      <c r="AA53" s="230"/>
      <c r="AB53" s="230"/>
      <c r="AC53" s="230"/>
      <c r="AD53" s="230"/>
    </row>
    <row r="54" spans="1:30" ht="13.5" thickBot="1">
      <c r="A54" s="99"/>
      <c r="B54" s="121"/>
      <c r="C54" s="254"/>
      <c r="D54" s="100"/>
      <c r="E54" s="108"/>
      <c r="F54" s="228" t="str">
        <f t="shared" si="0"/>
        <v/>
      </c>
      <c r="G54" s="182"/>
      <c r="H54" s="230"/>
      <c r="I54" s="230"/>
      <c r="J54" s="230"/>
      <c r="K54" s="230"/>
      <c r="L54" s="230"/>
      <c r="M54" s="230"/>
      <c r="N54" s="230"/>
      <c r="O54" s="230"/>
      <c r="P54" s="324"/>
      <c r="Q54" s="324"/>
      <c r="R54" s="324"/>
      <c r="S54" s="324"/>
      <c r="T54" s="324"/>
      <c r="U54" s="324"/>
      <c r="V54" s="324"/>
      <c r="W54" s="324"/>
      <c r="X54" s="230"/>
      <c r="Y54" s="230"/>
      <c r="Z54" s="230"/>
      <c r="AA54" s="230"/>
      <c r="AB54" s="230"/>
      <c r="AC54" s="230"/>
      <c r="AD54" s="230"/>
    </row>
    <row r="55" spans="1:30">
      <c r="A55" s="353"/>
      <c r="B55" s="353"/>
      <c r="C55" s="353"/>
      <c r="D55" s="353"/>
      <c r="E55" s="354"/>
      <c r="F55" s="355"/>
      <c r="G55" s="354"/>
      <c r="H55" s="230"/>
      <c r="I55" s="230"/>
      <c r="J55" s="230"/>
      <c r="K55" s="230"/>
      <c r="L55" s="230"/>
      <c r="M55" s="230"/>
      <c r="N55" s="230"/>
      <c r="O55" s="230"/>
      <c r="P55" s="324"/>
      <c r="Q55" s="324"/>
      <c r="R55" s="324"/>
      <c r="S55" s="324"/>
      <c r="T55" s="324"/>
      <c r="U55" s="324"/>
      <c r="V55" s="324"/>
      <c r="W55" s="324"/>
      <c r="X55" s="230"/>
      <c r="Y55" s="230"/>
      <c r="Z55" s="230"/>
      <c r="AA55" s="230"/>
      <c r="AB55" s="230"/>
      <c r="AC55" s="230"/>
      <c r="AD55" s="230"/>
    </row>
    <row r="56" spans="1:30">
      <c r="A56" s="13" t="s">
        <v>375</v>
      </c>
      <c r="B56" s="13"/>
      <c r="C56" s="10"/>
      <c r="D56" s="10"/>
      <c r="E56" s="10"/>
      <c r="F56" s="10"/>
      <c r="G56" s="1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ht="28.5" customHeight="1">
      <c r="A57" s="1216" t="s">
        <v>145</v>
      </c>
      <c r="B57" s="1217"/>
      <c r="C57" s="1218"/>
      <c r="D57" s="1212" t="s">
        <v>464</v>
      </c>
      <c r="E57" s="1213"/>
      <c r="F57" s="230"/>
      <c r="G57" s="1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81" t="s">
        <v>144</v>
      </c>
      <c r="B58" s="18"/>
      <c r="C58" s="19"/>
      <c r="D58" s="81"/>
      <c r="E58" s="1070">
        <v>24.377132352989769</v>
      </c>
      <c r="F58" s="230"/>
      <c r="G58" s="78"/>
      <c r="H58" s="324"/>
      <c r="I58" s="26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81" t="s">
        <v>143</v>
      </c>
      <c r="B59" s="18"/>
      <c r="C59" s="19"/>
      <c r="D59" s="81"/>
      <c r="E59" s="1070">
        <v>43.963324589847097</v>
      </c>
      <c r="F59" s="230"/>
      <c r="G59" s="78"/>
      <c r="H59" s="324"/>
      <c r="I59" s="26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17" t="s">
        <v>110</v>
      </c>
      <c r="B60" s="18"/>
      <c r="C60" s="19"/>
      <c r="D60" s="81"/>
      <c r="E60" s="1070">
        <v>7.3395170519980004</v>
      </c>
      <c r="F60" s="230"/>
      <c r="G60" s="78"/>
      <c r="H60" s="324"/>
      <c r="I60" s="26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17" t="s">
        <v>757</v>
      </c>
      <c r="B61" s="18"/>
      <c r="C61" s="19"/>
      <c r="D61" s="81"/>
      <c r="E61" s="1070">
        <v>17.867885189527225</v>
      </c>
      <c r="F61" s="230"/>
      <c r="G61" s="78"/>
      <c r="H61" s="324"/>
      <c r="I61" s="26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17" t="s">
        <v>758</v>
      </c>
      <c r="B62" s="18"/>
      <c r="C62" s="19"/>
      <c r="D62" s="81"/>
      <c r="E62" s="1070">
        <v>7.5060994873556677</v>
      </c>
      <c r="F62" s="230"/>
      <c r="G62" s="78"/>
      <c r="H62" s="324"/>
      <c r="I62" s="324"/>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81" t="s">
        <v>146</v>
      </c>
      <c r="B63" s="18"/>
      <c r="C63" s="19"/>
      <c r="D63" s="81"/>
      <c r="E63" s="1070">
        <v>6.0730339722657076</v>
      </c>
      <c r="F63" s="230"/>
      <c r="G63" s="78"/>
      <c r="H63" s="324"/>
      <c r="I63" s="26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78"/>
      <c r="B64" s="78"/>
      <c r="C64" s="102"/>
      <c r="D64" s="102"/>
      <c r="E64" s="78"/>
      <c r="F64" s="78"/>
      <c r="G64" s="78"/>
      <c r="H64" s="324"/>
      <c r="I64" s="230"/>
      <c r="J64" s="230"/>
      <c r="K64" s="230"/>
      <c r="L64" s="230"/>
      <c r="M64" s="230"/>
      <c r="N64" s="230"/>
      <c r="O64" s="230"/>
      <c r="P64" s="324"/>
      <c r="Q64" s="324"/>
      <c r="R64" s="324"/>
      <c r="S64" s="324"/>
      <c r="T64" s="324"/>
      <c r="U64" s="324"/>
      <c r="V64" s="324"/>
      <c r="W64" s="324"/>
      <c r="X64" s="230"/>
      <c r="Y64" s="230"/>
      <c r="Z64" s="230"/>
      <c r="AA64" s="230"/>
      <c r="AB64" s="230"/>
      <c r="AC64" s="230"/>
      <c r="AD64" s="230"/>
    </row>
    <row r="65" spans="1:30">
      <c r="A65" s="358" t="s">
        <v>377</v>
      </c>
      <c r="B65" s="319"/>
      <c r="C65" s="320"/>
      <c r="D65" s="320"/>
      <c r="E65" s="319"/>
      <c r="F65" s="319"/>
      <c r="G65" s="319"/>
      <c r="H65" s="324"/>
      <c r="I65" s="230"/>
      <c r="J65" s="230"/>
      <c r="K65" s="230"/>
      <c r="L65" s="230"/>
      <c r="M65" s="230"/>
      <c r="N65" s="230"/>
      <c r="O65" s="230"/>
      <c r="P65" s="324"/>
      <c r="Q65" s="324"/>
      <c r="R65" s="324"/>
      <c r="S65" s="324"/>
      <c r="T65" s="324"/>
      <c r="U65" s="324"/>
      <c r="V65" s="324"/>
      <c r="W65" s="324"/>
      <c r="X65" s="230"/>
      <c r="Y65" s="230"/>
      <c r="Z65" s="230"/>
      <c r="AA65" s="230"/>
      <c r="AB65" s="230"/>
      <c r="AC65" s="230"/>
      <c r="AD65" s="230"/>
    </row>
    <row r="66" spans="1:30">
      <c r="A66" s="359"/>
      <c r="B66" s="324"/>
      <c r="C66" s="360"/>
      <c r="D66" s="360"/>
      <c r="E66" s="324"/>
      <c r="F66" s="324"/>
      <c r="G66" s="324"/>
      <c r="H66" s="324"/>
      <c r="I66" s="230"/>
      <c r="J66" s="230"/>
      <c r="K66" s="230"/>
      <c r="L66" s="230"/>
      <c r="M66" s="230"/>
      <c r="N66" s="230"/>
      <c r="O66" s="230"/>
      <c r="P66" s="324"/>
      <c r="Q66" s="324"/>
      <c r="R66" s="324"/>
      <c r="S66" s="324"/>
      <c r="T66" s="324"/>
      <c r="U66" s="324"/>
      <c r="V66" s="324"/>
      <c r="W66" s="324"/>
      <c r="X66" s="230"/>
      <c r="Y66" s="230"/>
      <c r="Z66" s="230"/>
      <c r="AA66" s="230"/>
      <c r="AB66" s="230"/>
      <c r="AC66" s="230"/>
      <c r="AD66" s="230"/>
    </row>
    <row r="67" spans="1:30" ht="15" thickBot="1">
      <c r="A67" s="13" t="s">
        <v>1346</v>
      </c>
      <c r="B67" s="13"/>
      <c r="C67" s="13"/>
      <c r="D67" s="10"/>
      <c r="E67" s="10"/>
      <c r="F67" s="10"/>
      <c r="G67" s="10"/>
      <c r="H67" s="230"/>
      <c r="I67" s="230"/>
      <c r="J67" s="230"/>
      <c r="K67" s="230"/>
      <c r="L67" s="230"/>
      <c r="M67" s="230"/>
      <c r="N67" s="230"/>
      <c r="O67" s="230"/>
      <c r="P67" s="324"/>
      <c r="Q67" s="324"/>
      <c r="R67" s="324"/>
      <c r="S67" s="324"/>
      <c r="T67" s="324"/>
      <c r="U67" s="324"/>
      <c r="V67" s="324"/>
      <c r="W67" s="324"/>
      <c r="X67" s="230"/>
      <c r="Y67" s="230"/>
      <c r="Z67" s="230"/>
      <c r="AA67" s="230"/>
      <c r="AB67" s="230"/>
      <c r="AC67" s="230"/>
      <c r="AD67" s="230"/>
    </row>
    <row r="68" spans="1:30" ht="14.25">
      <c r="A68" s="1203" t="s">
        <v>171</v>
      </c>
      <c r="B68" s="1214"/>
      <c r="C68" s="1204"/>
      <c r="D68" s="1223" t="s">
        <v>232</v>
      </c>
      <c r="E68" s="1223" t="s">
        <v>169</v>
      </c>
      <c r="F68" s="65" t="s">
        <v>101</v>
      </c>
      <c r="H68" s="230"/>
      <c r="I68" s="230"/>
      <c r="J68" s="230"/>
      <c r="K68" s="230"/>
      <c r="L68" s="230"/>
      <c r="M68" s="230"/>
      <c r="N68" s="230"/>
      <c r="O68" s="230"/>
      <c r="P68" s="324"/>
      <c r="Q68" s="324"/>
      <c r="R68" s="324"/>
      <c r="S68" s="324"/>
      <c r="T68" s="324"/>
      <c r="U68" s="324"/>
      <c r="V68" s="324"/>
      <c r="W68" s="324"/>
      <c r="X68" s="230"/>
      <c r="Y68" s="230"/>
      <c r="Z68" s="230"/>
      <c r="AA68" s="230"/>
      <c r="AB68" s="230"/>
      <c r="AC68" s="230"/>
      <c r="AD68" s="230"/>
    </row>
    <row r="69" spans="1:30" ht="13.5" thickBot="1">
      <c r="A69" s="1205"/>
      <c r="B69" s="1215"/>
      <c r="C69" s="1206"/>
      <c r="D69" s="1224"/>
      <c r="E69" s="1224"/>
      <c r="F69" s="162" t="s">
        <v>185</v>
      </c>
      <c r="G69" s="1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85" t="s">
        <v>233</v>
      </c>
      <c r="B70" s="202"/>
      <c r="C70" s="202"/>
      <c r="D70" s="203">
        <f>SUMIF($C$20:$C$54,"*Gasoline*",$E$20:$E$54)+SUMIF($C$20:$C$54,"Other Gasoline*",$E$20:$E$54)</f>
        <v>0</v>
      </c>
      <c r="E70" s="204" t="s">
        <v>178</v>
      </c>
      <c r="F70" s="205">
        <f>IF($D70="","",Mobile_gas_CO2fctr*$D70)</f>
        <v>0</v>
      </c>
      <c r="G70" s="1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67" t="s">
        <v>234</v>
      </c>
      <c r="B71" s="68"/>
      <c r="C71" s="68"/>
      <c r="D71" s="200">
        <f>SUMIF($C$20:$C$54,"*Diesel*",$E$20:$E$54)+SUMIF($C$20:$C$54,"Other Diesel*",$E$20:$E$54)</f>
        <v>0</v>
      </c>
      <c r="E71" s="72" t="s">
        <v>178</v>
      </c>
      <c r="F71" s="143">
        <f>IF($D71="","",Mobile_diesel_CO2fctr*$D71)</f>
        <v>0</v>
      </c>
      <c r="G71" s="1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67" t="s">
        <v>845</v>
      </c>
      <c r="B72" s="68"/>
      <c r="C72" s="68"/>
      <c r="D72" s="200">
        <f>SUMIF($C$20:$C$54,"*Residual*",$E$20:$E$54)</f>
        <v>0</v>
      </c>
      <c r="E72" s="72" t="s">
        <v>178</v>
      </c>
      <c r="F72" s="143">
        <f>IF($D72="","",Mobile_FuelOil_CO2fctr*$D72)</f>
        <v>0</v>
      </c>
      <c r="G72" s="1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67" t="s">
        <v>638</v>
      </c>
      <c r="B73" s="68"/>
      <c r="C73" s="68"/>
      <c r="D73" s="71">
        <f>SUMIF($C$20:$C$54,"*Aviation Gasoline*",$E$20:$E$54)</f>
        <v>0</v>
      </c>
      <c r="E73" s="72" t="s">
        <v>178</v>
      </c>
      <c r="F73" s="143">
        <f>IF($D73="","",Mobile_Avgas_CO2fctr*$D73)</f>
        <v>0</v>
      </c>
      <c r="G73" s="1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67" t="s">
        <v>848</v>
      </c>
      <c r="B74" s="68"/>
      <c r="C74" s="68"/>
      <c r="D74" s="71">
        <f>SUMIF($C$20:$C$54,"*Jet*",$E$20:$E$54)</f>
        <v>0</v>
      </c>
      <c r="E74" s="72" t="s">
        <v>178</v>
      </c>
      <c r="F74" s="143">
        <f>IF($D74="","",Mobile_Jet_Fuel_CO2fctr*$D74)</f>
        <v>0</v>
      </c>
      <c r="G74" s="1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53" t="s">
        <v>813</v>
      </c>
      <c r="B75" s="68"/>
      <c r="C75" s="68"/>
      <c r="D75" s="71">
        <f>SUMIF($C$20:$C$54,"*LPG*",$E$20:$E$54)</f>
        <v>0</v>
      </c>
      <c r="E75" s="72" t="s">
        <v>178</v>
      </c>
      <c r="F75" s="143">
        <f>IF($D75="","",Mobile_LPG_CO2fctr*$D75)</f>
        <v>0</v>
      </c>
      <c r="G75" s="1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67" t="s">
        <v>846</v>
      </c>
      <c r="B76" s="68"/>
      <c r="C76" s="862"/>
      <c r="D76" s="71">
        <f>SUMIF($C$20:$C$54,"*Ethanol*",$E$20:$E$54)</f>
        <v>0</v>
      </c>
      <c r="E76" s="72" t="s">
        <v>178</v>
      </c>
      <c r="F76" s="143">
        <f>IF(D76="","",Mobile_gas_CO2fctr*(100-$D$13)/100*$D76)</f>
        <v>0</v>
      </c>
      <c r="G76" s="1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67" t="s">
        <v>847</v>
      </c>
      <c r="B77" s="68"/>
      <c r="C77" s="862"/>
      <c r="D77" s="71">
        <f>SUMIF($C$20:$C$54,"*Biodiesel*",$E$20:$E$54)</f>
        <v>0</v>
      </c>
      <c r="E77" s="72" t="s">
        <v>178</v>
      </c>
      <c r="F77" s="143">
        <f>IF(D77="","",Mobile_diesel_CO2fctr*(100-$D$12)/100*$D77)</f>
        <v>0</v>
      </c>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1072" t="s">
        <v>109</v>
      </c>
      <c r="B78" s="1073"/>
      <c r="C78" s="1073"/>
      <c r="D78" s="71">
        <f>SUMIF($C$20:$C$54,"*LNG*",$E$20:$E$54)</f>
        <v>0</v>
      </c>
      <c r="E78" s="72" t="s">
        <v>178</v>
      </c>
      <c r="F78" s="143">
        <f>IF($D78="","",Mobile_LNG_CO2fctr*$D78)</f>
        <v>0</v>
      </c>
      <c r="G78" s="230"/>
      <c r="H78" s="681"/>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ht="13.5" thickBot="1">
      <c r="A79" s="197" t="s">
        <v>17</v>
      </c>
      <c r="B79" s="1074"/>
      <c r="C79" s="198"/>
      <c r="D79" s="1071">
        <f>SUMIF($C$20:$C$54,"*CNG*",$E$20:$E$54)</f>
        <v>0</v>
      </c>
      <c r="E79" s="158" t="s">
        <v>177</v>
      </c>
      <c r="F79" s="159">
        <f>IF($D79="","",Mobile_CNG_CO2fctr*$D79)</f>
        <v>0</v>
      </c>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10"/>
      <c r="B80" s="10"/>
      <c r="C80" s="10"/>
      <c r="D80" s="10"/>
      <c r="E80" s="10"/>
      <c r="F80" s="1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ht="15" thickBot="1">
      <c r="A81" s="13" t="s">
        <v>1345</v>
      </c>
      <c r="B81" s="13"/>
      <c r="C81" s="13"/>
      <c r="D81" s="10"/>
      <c r="E81" s="10"/>
      <c r="F81" s="1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ht="15" thickBot="1">
      <c r="A82" s="1197" t="s">
        <v>145</v>
      </c>
      <c r="B82" s="1198"/>
      <c r="C82" s="265" t="s">
        <v>304</v>
      </c>
      <c r="D82" s="265" t="s">
        <v>305</v>
      </c>
      <c r="E82" s="265" t="s">
        <v>306</v>
      </c>
      <c r="F82" s="266" t="s">
        <v>307</v>
      </c>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t="s">
        <v>1302</v>
      </c>
      <c r="B83" s="78"/>
      <c r="C83" s="952" t="s">
        <v>1173</v>
      </c>
      <c r="D83" s="206">
        <f>SUMPRODUCT(--($C$20:$C$54=$A$83),--($D$20:$D$54&lt;=1993),--($G$20:$G$54))</f>
        <v>0</v>
      </c>
      <c r="E83" s="210">
        <f>VLOOKUP(C83,Gas_Pass_Car_CH4_N2O, 2,FALSE)*D83</f>
        <v>0</v>
      </c>
      <c r="F83" s="210">
        <f t="shared" ref="F83:F108" si="1">VLOOKUP(C83,Gas_Pass_Car_CH4_N2O, 3,FALSE)*D83</f>
        <v>0</v>
      </c>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77"/>
      <c r="B84" s="78"/>
      <c r="C84" s="79">
        <v>1994</v>
      </c>
      <c r="D84" s="80">
        <f t="shared" ref="D84:D107" si="2">SUMPRODUCT(--($C$20:$C$54=$A$83),--($D$20:$D$54=$C84),--($G$20:$G$54))</f>
        <v>0</v>
      </c>
      <c r="E84" s="153">
        <f t="shared" ref="E84:E94" si="3">VLOOKUP(C84,Gas_Pass_Car_CH4_N2O, 2,FALSE)*D84</f>
        <v>0</v>
      </c>
      <c r="F84" s="264">
        <f t="shared" si="1"/>
        <v>0</v>
      </c>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77"/>
      <c r="B85" s="78"/>
      <c r="C85" s="79">
        <v>1995</v>
      </c>
      <c r="D85" s="80">
        <f t="shared" si="2"/>
        <v>0</v>
      </c>
      <c r="E85" s="153">
        <f t="shared" si="3"/>
        <v>0</v>
      </c>
      <c r="F85" s="264">
        <f t="shared" si="1"/>
        <v>0</v>
      </c>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77"/>
      <c r="B86" s="78"/>
      <c r="C86" s="79">
        <v>1996</v>
      </c>
      <c r="D86" s="80">
        <f t="shared" si="2"/>
        <v>0</v>
      </c>
      <c r="E86" s="153">
        <f t="shared" si="3"/>
        <v>0</v>
      </c>
      <c r="F86" s="264">
        <f t="shared" si="1"/>
        <v>0</v>
      </c>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77"/>
      <c r="B87" s="78"/>
      <c r="C87" s="79">
        <v>1997</v>
      </c>
      <c r="D87" s="80">
        <f t="shared" si="2"/>
        <v>0</v>
      </c>
      <c r="E87" s="153">
        <f t="shared" si="3"/>
        <v>0</v>
      </c>
      <c r="F87" s="264">
        <f t="shared" si="1"/>
        <v>0</v>
      </c>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77"/>
      <c r="B88" s="78"/>
      <c r="C88" s="79">
        <v>1998</v>
      </c>
      <c r="D88" s="80">
        <f t="shared" si="2"/>
        <v>0</v>
      </c>
      <c r="E88" s="153">
        <f t="shared" si="3"/>
        <v>0</v>
      </c>
      <c r="F88" s="152">
        <f t="shared" si="1"/>
        <v>0</v>
      </c>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77"/>
      <c r="B89" s="78"/>
      <c r="C89" s="79">
        <v>1999</v>
      </c>
      <c r="D89" s="80">
        <f t="shared" si="2"/>
        <v>0</v>
      </c>
      <c r="E89" s="153">
        <f t="shared" si="3"/>
        <v>0</v>
      </c>
      <c r="F89" s="152">
        <f t="shared" si="1"/>
        <v>0</v>
      </c>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77"/>
      <c r="B90" s="78"/>
      <c r="C90" s="79">
        <v>2000</v>
      </c>
      <c r="D90" s="80">
        <f t="shared" si="2"/>
        <v>0</v>
      </c>
      <c r="E90" s="153">
        <f t="shared" si="3"/>
        <v>0</v>
      </c>
      <c r="F90" s="152">
        <f t="shared" si="1"/>
        <v>0</v>
      </c>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77"/>
      <c r="B91" s="78"/>
      <c r="C91" s="79">
        <v>2001</v>
      </c>
      <c r="D91" s="80">
        <f t="shared" si="2"/>
        <v>0</v>
      </c>
      <c r="E91" s="153">
        <f t="shared" si="3"/>
        <v>0</v>
      </c>
      <c r="F91" s="152">
        <f t="shared" si="1"/>
        <v>0</v>
      </c>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77"/>
      <c r="B92" s="78"/>
      <c r="C92" s="79">
        <v>2002</v>
      </c>
      <c r="D92" s="80">
        <f t="shared" si="2"/>
        <v>0</v>
      </c>
      <c r="E92" s="153">
        <f t="shared" si="3"/>
        <v>0</v>
      </c>
      <c r="F92" s="152">
        <f t="shared" si="1"/>
        <v>0</v>
      </c>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77"/>
      <c r="B93" s="78"/>
      <c r="C93" s="79">
        <v>2003</v>
      </c>
      <c r="D93" s="80">
        <f t="shared" si="2"/>
        <v>0</v>
      </c>
      <c r="E93" s="153">
        <f t="shared" si="3"/>
        <v>0</v>
      </c>
      <c r="F93" s="152">
        <f t="shared" si="1"/>
        <v>0</v>
      </c>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77"/>
      <c r="B94" s="78"/>
      <c r="C94" s="79">
        <v>2004</v>
      </c>
      <c r="D94" s="80">
        <f t="shared" si="2"/>
        <v>0</v>
      </c>
      <c r="E94" s="153">
        <f t="shared" si="3"/>
        <v>0</v>
      </c>
      <c r="F94" s="152">
        <f t="shared" si="1"/>
        <v>0</v>
      </c>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77"/>
      <c r="B95" s="78"/>
      <c r="C95" s="629">
        <v>2005</v>
      </c>
      <c r="D95" s="80">
        <f t="shared" si="2"/>
        <v>0</v>
      </c>
      <c r="E95" s="153">
        <f t="shared" ref="E95:E108" si="4">VLOOKUP(C95,Gas_Pass_Car_CH4_N2O, 2,FALSE)*D95</f>
        <v>0</v>
      </c>
      <c r="F95" s="152">
        <f t="shared" ref="F95:F107" si="5">VLOOKUP(C95,Gas_Pass_Car_CH4_N2O, 3,FALSE)*D95</f>
        <v>0</v>
      </c>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77"/>
      <c r="B96" s="78"/>
      <c r="C96" s="629">
        <v>2006</v>
      </c>
      <c r="D96" s="80">
        <f t="shared" si="2"/>
        <v>0</v>
      </c>
      <c r="E96" s="153">
        <f t="shared" si="4"/>
        <v>0</v>
      </c>
      <c r="F96" s="152">
        <f t="shared" si="5"/>
        <v>0</v>
      </c>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77"/>
      <c r="B97" s="78"/>
      <c r="C97" s="629">
        <v>2007</v>
      </c>
      <c r="D97" s="80">
        <f t="shared" si="2"/>
        <v>0</v>
      </c>
      <c r="E97" s="153">
        <f t="shared" si="4"/>
        <v>0</v>
      </c>
      <c r="F97" s="152">
        <f t="shared" si="5"/>
        <v>0</v>
      </c>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77"/>
      <c r="B98" s="78"/>
      <c r="C98" s="927">
        <v>2008</v>
      </c>
      <c r="D98" s="80">
        <f t="shared" si="2"/>
        <v>0</v>
      </c>
      <c r="E98" s="153">
        <f t="shared" si="4"/>
        <v>0</v>
      </c>
      <c r="F98" s="152">
        <f t="shared" si="5"/>
        <v>0</v>
      </c>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77"/>
      <c r="B99" s="78"/>
      <c r="C99" s="927">
        <v>2009</v>
      </c>
      <c r="D99" s="80">
        <f t="shared" si="2"/>
        <v>0</v>
      </c>
      <c r="E99" s="153">
        <f t="shared" si="4"/>
        <v>0</v>
      </c>
      <c r="F99" s="152">
        <f t="shared" si="5"/>
        <v>0</v>
      </c>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77"/>
      <c r="B100" s="78"/>
      <c r="C100" s="927">
        <v>2010</v>
      </c>
      <c r="D100" s="80">
        <f t="shared" si="2"/>
        <v>0</v>
      </c>
      <c r="E100" s="153">
        <f t="shared" si="4"/>
        <v>0</v>
      </c>
      <c r="F100" s="152">
        <f t="shared" si="5"/>
        <v>0</v>
      </c>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77"/>
      <c r="B101" s="78"/>
      <c r="C101" s="927">
        <v>2011</v>
      </c>
      <c r="D101" s="80">
        <f t="shared" si="2"/>
        <v>0</v>
      </c>
      <c r="E101" s="153">
        <f t="shared" si="4"/>
        <v>0</v>
      </c>
      <c r="F101" s="152">
        <f t="shared" si="5"/>
        <v>0</v>
      </c>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77"/>
      <c r="B102" s="78"/>
      <c r="C102" s="927">
        <v>2012</v>
      </c>
      <c r="D102" s="80">
        <f t="shared" si="2"/>
        <v>0</v>
      </c>
      <c r="E102" s="153">
        <f t="shared" si="4"/>
        <v>0</v>
      </c>
      <c r="F102" s="152">
        <f t="shared" si="5"/>
        <v>0</v>
      </c>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77"/>
      <c r="B103" s="78"/>
      <c r="C103" s="927">
        <v>2013</v>
      </c>
      <c r="D103" s="80">
        <f t="shared" si="2"/>
        <v>0</v>
      </c>
      <c r="E103" s="153">
        <f t="shared" si="4"/>
        <v>0</v>
      </c>
      <c r="F103" s="152">
        <f t="shared" si="5"/>
        <v>0</v>
      </c>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77"/>
      <c r="B104" s="78"/>
      <c r="C104" s="927">
        <v>2014</v>
      </c>
      <c r="D104" s="80">
        <f t="shared" si="2"/>
        <v>0</v>
      </c>
      <c r="E104" s="153">
        <f t="shared" si="4"/>
        <v>0</v>
      </c>
      <c r="F104" s="152">
        <f t="shared" si="5"/>
        <v>0</v>
      </c>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77"/>
      <c r="B105" s="78"/>
      <c r="C105" s="927">
        <v>2015</v>
      </c>
      <c r="D105" s="80">
        <f t="shared" si="2"/>
        <v>0</v>
      </c>
      <c r="E105" s="153">
        <f t="shared" si="4"/>
        <v>0</v>
      </c>
      <c r="F105" s="152">
        <f t="shared" si="5"/>
        <v>0</v>
      </c>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77"/>
      <c r="B106" s="78"/>
      <c r="C106" s="927">
        <v>2016</v>
      </c>
      <c r="D106" s="80">
        <f t="shared" si="2"/>
        <v>0</v>
      </c>
      <c r="E106" s="153">
        <f t="shared" si="4"/>
        <v>0</v>
      </c>
      <c r="F106" s="152">
        <f t="shared" si="5"/>
        <v>0</v>
      </c>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77"/>
      <c r="B107" s="78"/>
      <c r="C107" s="927">
        <v>2017</v>
      </c>
      <c r="D107" s="80">
        <f t="shared" si="2"/>
        <v>0</v>
      </c>
      <c r="E107" s="153">
        <f t="shared" si="4"/>
        <v>0</v>
      </c>
      <c r="F107" s="152">
        <f t="shared" si="5"/>
        <v>0</v>
      </c>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ht="13.5" thickBot="1">
      <c r="A108" s="82"/>
      <c r="B108" s="83"/>
      <c r="C108" s="927">
        <v>2018</v>
      </c>
      <c r="D108" s="84">
        <f>SUMPRODUCT(--($C$20:$C$54=$A$83),--($D$20:$D$54&gt;=2018),--($G$20:$G$54))</f>
        <v>0</v>
      </c>
      <c r="E108" s="154">
        <f t="shared" si="4"/>
        <v>0</v>
      </c>
      <c r="F108" s="155">
        <f t="shared" si="1"/>
        <v>0</v>
      </c>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t="s">
        <v>1303</v>
      </c>
      <c r="B109" s="74"/>
      <c r="C109" s="926" t="s">
        <v>1174</v>
      </c>
      <c r="D109" s="76">
        <f>SUMPRODUCT(--($C$20:$C$54=$A$109),--($D$20:$D$54&lt;=1993),--($G$20:$G$54))</f>
        <v>0</v>
      </c>
      <c r="E109" s="156">
        <f t="shared" ref="E109:E120" si="6">VLOOKUP(C109,Gas_Lt_Duty_Trucks_CH4_N2O, 2,FALSE)*D109</f>
        <v>0</v>
      </c>
      <c r="F109" s="151">
        <f t="shared" ref="F109:F120" si="7">VLOOKUP(C109,Gas_Lt_Duty_Trucks_CH4_N2O, 3,FALSE)*D109</f>
        <v>0</v>
      </c>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77" t="s">
        <v>236</v>
      </c>
      <c r="B110" s="78"/>
      <c r="C110" s="79">
        <v>1994</v>
      </c>
      <c r="D110" s="80">
        <f t="shared" ref="D110:D119" si="8">SUMPRODUCT(--($C$20:$C$54=$A$109),--($D$20:$D$54=$C110),--($G$20:$G$54))</f>
        <v>0</v>
      </c>
      <c r="E110" s="210">
        <f t="shared" si="6"/>
        <v>0</v>
      </c>
      <c r="F110" s="207">
        <f t="shared" si="7"/>
        <v>0</v>
      </c>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77"/>
      <c r="B111" s="78"/>
      <c r="C111" s="79">
        <v>1995</v>
      </c>
      <c r="D111" s="80">
        <f t="shared" si="8"/>
        <v>0</v>
      </c>
      <c r="E111" s="210">
        <f t="shared" si="6"/>
        <v>0</v>
      </c>
      <c r="F111" s="207">
        <f t="shared" si="7"/>
        <v>0</v>
      </c>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77"/>
      <c r="B112" s="78"/>
      <c r="C112" s="79">
        <v>1996</v>
      </c>
      <c r="D112" s="80">
        <f t="shared" si="8"/>
        <v>0</v>
      </c>
      <c r="E112" s="210">
        <f t="shared" si="6"/>
        <v>0</v>
      </c>
      <c r="F112" s="207">
        <f t="shared" si="7"/>
        <v>0</v>
      </c>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77"/>
      <c r="B113" s="78"/>
      <c r="C113" s="79">
        <v>1997</v>
      </c>
      <c r="D113" s="80">
        <f t="shared" si="8"/>
        <v>0</v>
      </c>
      <c r="E113" s="210">
        <f t="shared" si="6"/>
        <v>0</v>
      </c>
      <c r="F113" s="207">
        <f t="shared" si="7"/>
        <v>0</v>
      </c>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77"/>
      <c r="B114" s="78"/>
      <c r="C114" s="79">
        <v>1998</v>
      </c>
      <c r="D114" s="80">
        <f t="shared" si="8"/>
        <v>0</v>
      </c>
      <c r="E114" s="210">
        <f t="shared" si="6"/>
        <v>0</v>
      </c>
      <c r="F114" s="207">
        <f t="shared" si="7"/>
        <v>0</v>
      </c>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77"/>
      <c r="B115" s="78"/>
      <c r="C115" s="79">
        <v>1999</v>
      </c>
      <c r="D115" s="80">
        <f t="shared" si="8"/>
        <v>0</v>
      </c>
      <c r="E115" s="210">
        <f t="shared" si="6"/>
        <v>0</v>
      </c>
      <c r="F115" s="207">
        <f t="shared" si="7"/>
        <v>0</v>
      </c>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77"/>
      <c r="B116" s="78"/>
      <c r="C116" s="79">
        <v>2000</v>
      </c>
      <c r="D116" s="80">
        <f t="shared" si="8"/>
        <v>0</v>
      </c>
      <c r="E116" s="210">
        <f t="shared" si="6"/>
        <v>0</v>
      </c>
      <c r="F116" s="207">
        <f t="shared" si="7"/>
        <v>0</v>
      </c>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77"/>
      <c r="B117" s="78"/>
      <c r="C117" s="79">
        <v>2001</v>
      </c>
      <c r="D117" s="80">
        <f t="shared" si="8"/>
        <v>0</v>
      </c>
      <c r="E117" s="210">
        <f t="shared" si="6"/>
        <v>0</v>
      </c>
      <c r="F117" s="207">
        <f t="shared" si="7"/>
        <v>0</v>
      </c>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77"/>
      <c r="B118" s="78"/>
      <c r="C118" s="79">
        <v>2002</v>
      </c>
      <c r="D118" s="80">
        <f t="shared" si="8"/>
        <v>0</v>
      </c>
      <c r="E118" s="210">
        <f t="shared" si="6"/>
        <v>0</v>
      </c>
      <c r="F118" s="207">
        <f t="shared" si="7"/>
        <v>0</v>
      </c>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77"/>
      <c r="B119" s="78"/>
      <c r="C119" s="79">
        <v>2003</v>
      </c>
      <c r="D119" s="80">
        <f t="shared" si="8"/>
        <v>0</v>
      </c>
      <c r="E119" s="210">
        <f t="shared" si="6"/>
        <v>0</v>
      </c>
      <c r="F119" s="207">
        <f t="shared" si="7"/>
        <v>0</v>
      </c>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77"/>
      <c r="B120" s="78"/>
      <c r="C120" s="79">
        <v>2004</v>
      </c>
      <c r="D120" s="80">
        <f>SUMPRODUCT(--($C$20:$C$54=$A$109),--($D$20:$D$54=$C120),--($G$20:$G$54))</f>
        <v>0</v>
      </c>
      <c r="E120" s="210">
        <f t="shared" si="6"/>
        <v>0</v>
      </c>
      <c r="F120" s="207">
        <f t="shared" si="7"/>
        <v>0</v>
      </c>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77"/>
      <c r="B121" s="78"/>
      <c r="C121" s="629">
        <v>2005</v>
      </c>
      <c r="D121" s="80">
        <f>SUMPRODUCT(--($C$20:$C$54=$A$109),--($D$20:$D$54=$C121),--($G$20:$G$54))</f>
        <v>0</v>
      </c>
      <c r="E121" s="210">
        <f t="shared" ref="E121:E134" si="9">VLOOKUP(C121,Gas_Lt_Duty_Trucks_CH4_N2O, 2,FALSE)*D121</f>
        <v>0</v>
      </c>
      <c r="F121" s="207">
        <f t="shared" ref="F121:F134" si="10">VLOOKUP(C121,Gas_Lt_Duty_Trucks_CH4_N2O, 3,FALSE)*D121</f>
        <v>0</v>
      </c>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77"/>
      <c r="B122" s="78"/>
      <c r="C122" s="629">
        <v>2006</v>
      </c>
      <c r="D122" s="80">
        <f>SUMPRODUCT(--($C$20:$C$54=$A$109),--($D$20:$D$54=$C122),--($G$20:$G$54))</f>
        <v>0</v>
      </c>
      <c r="E122" s="210">
        <f t="shared" si="9"/>
        <v>0</v>
      </c>
      <c r="F122" s="207">
        <f t="shared" si="10"/>
        <v>0</v>
      </c>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77"/>
      <c r="B123" s="78"/>
      <c r="C123" s="629">
        <v>2007</v>
      </c>
      <c r="D123" s="80">
        <f>SUMPRODUCT(--($C$20:$C$54=$A$109),--($D$20:$D$54=$C123),--($G$20:$G$54))</f>
        <v>0</v>
      </c>
      <c r="E123" s="210">
        <f t="shared" si="9"/>
        <v>0</v>
      </c>
      <c r="F123" s="207">
        <f t="shared" si="10"/>
        <v>0</v>
      </c>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77"/>
      <c r="B124" s="78"/>
      <c r="C124" s="629">
        <v>2008</v>
      </c>
      <c r="D124" s="80">
        <f t="shared" ref="D124:D133" si="11">SUMPRODUCT(--($C$20:$C$54=$A$109),--($D$20:$D$54=$C124),--($G$20:$G$54))</f>
        <v>0</v>
      </c>
      <c r="E124" s="210">
        <f t="shared" si="9"/>
        <v>0</v>
      </c>
      <c r="F124" s="207">
        <f t="shared" si="10"/>
        <v>0</v>
      </c>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77"/>
      <c r="B125" s="78"/>
      <c r="C125" s="629">
        <v>2009</v>
      </c>
      <c r="D125" s="80">
        <f t="shared" si="11"/>
        <v>0</v>
      </c>
      <c r="E125" s="210">
        <f t="shared" si="9"/>
        <v>0</v>
      </c>
      <c r="F125" s="207">
        <f t="shared" si="10"/>
        <v>0</v>
      </c>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77"/>
      <c r="B126" s="78"/>
      <c r="C126" s="629">
        <v>2010</v>
      </c>
      <c r="D126" s="80">
        <f t="shared" si="11"/>
        <v>0</v>
      </c>
      <c r="E126" s="210">
        <f t="shared" si="9"/>
        <v>0</v>
      </c>
      <c r="F126" s="207">
        <f t="shared" si="10"/>
        <v>0</v>
      </c>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77"/>
      <c r="B127" s="78"/>
      <c r="C127" s="629">
        <v>2011</v>
      </c>
      <c r="D127" s="80">
        <f t="shared" si="11"/>
        <v>0</v>
      </c>
      <c r="E127" s="210">
        <f t="shared" si="9"/>
        <v>0</v>
      </c>
      <c r="F127" s="207">
        <f t="shared" si="10"/>
        <v>0</v>
      </c>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77"/>
      <c r="B128" s="78"/>
      <c r="C128" s="629">
        <v>2012</v>
      </c>
      <c r="D128" s="80">
        <f t="shared" si="11"/>
        <v>0</v>
      </c>
      <c r="E128" s="210">
        <f t="shared" si="9"/>
        <v>0</v>
      </c>
      <c r="F128" s="207">
        <f t="shared" si="10"/>
        <v>0</v>
      </c>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77"/>
      <c r="B129" s="78"/>
      <c r="C129" s="629">
        <v>2013</v>
      </c>
      <c r="D129" s="80">
        <f t="shared" si="11"/>
        <v>0</v>
      </c>
      <c r="E129" s="210">
        <f t="shared" si="9"/>
        <v>0</v>
      </c>
      <c r="F129" s="207">
        <f t="shared" si="10"/>
        <v>0</v>
      </c>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77"/>
      <c r="B130" s="78"/>
      <c r="C130" s="629">
        <v>2014</v>
      </c>
      <c r="D130" s="80">
        <f t="shared" si="11"/>
        <v>0</v>
      </c>
      <c r="E130" s="210">
        <f t="shared" si="9"/>
        <v>0</v>
      </c>
      <c r="F130" s="207">
        <f t="shared" si="10"/>
        <v>0</v>
      </c>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77"/>
      <c r="B131" s="78"/>
      <c r="C131" s="629">
        <v>2015</v>
      </c>
      <c r="D131" s="80">
        <f t="shared" si="11"/>
        <v>0</v>
      </c>
      <c r="E131" s="210">
        <f t="shared" si="9"/>
        <v>0</v>
      </c>
      <c r="F131" s="207">
        <f t="shared" si="10"/>
        <v>0</v>
      </c>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77"/>
      <c r="B132" s="78"/>
      <c r="C132" s="629">
        <v>2016</v>
      </c>
      <c r="D132" s="80">
        <f t="shared" si="11"/>
        <v>0</v>
      </c>
      <c r="E132" s="210">
        <f t="shared" si="9"/>
        <v>0</v>
      </c>
      <c r="F132" s="207">
        <f t="shared" si="10"/>
        <v>0</v>
      </c>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77"/>
      <c r="B133" s="78"/>
      <c r="C133" s="629">
        <v>2017</v>
      </c>
      <c r="D133" s="80">
        <f t="shared" si="11"/>
        <v>0</v>
      </c>
      <c r="E133" s="210">
        <f t="shared" si="9"/>
        <v>0</v>
      </c>
      <c r="F133" s="207">
        <f t="shared" si="10"/>
        <v>0</v>
      </c>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ht="13.5" thickBot="1">
      <c r="A134" s="82"/>
      <c r="B134" s="78"/>
      <c r="C134" s="629">
        <v>2018</v>
      </c>
      <c r="D134" s="80">
        <f>SUMPRODUCT(--($C$20:$C$54=$A$109),--($D$20:$D$54&gt;=2018),--($G$20:$G$54))</f>
        <v>0</v>
      </c>
      <c r="E134" s="210">
        <f t="shared" si="9"/>
        <v>0</v>
      </c>
      <c r="F134" s="207">
        <f t="shared" si="10"/>
        <v>0</v>
      </c>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t="s">
        <v>1304</v>
      </c>
      <c r="B135" s="74"/>
      <c r="C135" s="926" t="s">
        <v>1175</v>
      </c>
      <c r="D135" s="76">
        <f>SUMPRODUCT(--($C$20:$C$54=$A$135),--($D$20:$D$54&lt;=1986),--($G$20:$G$54))</f>
        <v>0</v>
      </c>
      <c r="E135" s="156">
        <f>VLOOKUP(C135,Gas_Heavy_Duty_CH4_N2O, 2,FALSE)*D135</f>
        <v>0</v>
      </c>
      <c r="F135" s="151">
        <f t="shared" ref="F135:F147" si="12">VLOOKUP(C135,Gas_Heavy_Duty_CH4_N2O, 3,FALSE)*D135</f>
        <v>0</v>
      </c>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77"/>
      <c r="B136" s="78"/>
      <c r="C136" s="79">
        <v>1987</v>
      </c>
      <c r="D136" s="80">
        <f>SUMPRODUCT(--($C$20:$C$54=$A$135),--($D$20:$D$54=$C136),--($G$20:$G$54))</f>
        <v>0</v>
      </c>
      <c r="E136" s="153">
        <f t="shared" ref="E136:E147" si="13">VLOOKUP(C136,Gas_Heavy_Duty_CH4_N2O, 2,FALSE)*D136</f>
        <v>0</v>
      </c>
      <c r="F136" s="152">
        <f t="shared" si="12"/>
        <v>0</v>
      </c>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77"/>
      <c r="B137" s="78"/>
      <c r="C137" s="79" t="s">
        <v>11</v>
      </c>
      <c r="D137" s="80">
        <f>SUMPRODUCT(--($C$20:$C$54=$A$135),--($D$20:$D$54&gt;=1988),--($D$20:$D$54&lt;=1989),--($G$20:$G$54))</f>
        <v>0</v>
      </c>
      <c r="E137" s="153">
        <f>VLOOKUP(C137,Gas_Heavy_Duty_CH4_N2O, 2,FALSE)*D137</f>
        <v>0</v>
      </c>
      <c r="F137" s="152">
        <f t="shared" si="12"/>
        <v>0</v>
      </c>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77"/>
      <c r="B138" s="78"/>
      <c r="C138" s="79" t="s">
        <v>12</v>
      </c>
      <c r="D138" s="80">
        <f>SUMPRODUCT(--($C$20:$C$54=$A$135),--($D$20:$D$54&gt;=1990),--($D$20:$D$54&lt;=1995),--($G$20:$G$54))</f>
        <v>0</v>
      </c>
      <c r="E138" s="153">
        <f t="shared" si="13"/>
        <v>0</v>
      </c>
      <c r="F138" s="152">
        <f t="shared" si="12"/>
        <v>0</v>
      </c>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77"/>
      <c r="B139" s="78"/>
      <c r="C139" s="79">
        <v>1996</v>
      </c>
      <c r="D139" s="80">
        <f t="shared" ref="D139:D160" si="14">SUMPRODUCT(--($C$20:$C$54=$A$135),--($D$20:$D$54=$C139),--($G$20:$G$54))</f>
        <v>0</v>
      </c>
      <c r="E139" s="153">
        <f t="shared" si="13"/>
        <v>0</v>
      </c>
      <c r="F139" s="152">
        <f t="shared" si="12"/>
        <v>0</v>
      </c>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77"/>
      <c r="B140" s="78"/>
      <c r="C140" s="79">
        <v>1997</v>
      </c>
      <c r="D140" s="80">
        <f t="shared" si="14"/>
        <v>0</v>
      </c>
      <c r="E140" s="153">
        <f t="shared" si="13"/>
        <v>0</v>
      </c>
      <c r="F140" s="152">
        <f t="shared" si="12"/>
        <v>0</v>
      </c>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77"/>
      <c r="B141" s="78"/>
      <c r="C141" s="79">
        <v>1998</v>
      </c>
      <c r="D141" s="80">
        <f t="shared" si="14"/>
        <v>0</v>
      </c>
      <c r="E141" s="153">
        <f t="shared" si="13"/>
        <v>0</v>
      </c>
      <c r="F141" s="152">
        <f t="shared" si="12"/>
        <v>0</v>
      </c>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77"/>
      <c r="B142" s="78"/>
      <c r="C142" s="79">
        <v>1999</v>
      </c>
      <c r="D142" s="80">
        <f t="shared" si="14"/>
        <v>0</v>
      </c>
      <c r="E142" s="153">
        <f t="shared" si="13"/>
        <v>0</v>
      </c>
      <c r="F142" s="152">
        <f t="shared" si="12"/>
        <v>0</v>
      </c>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77"/>
      <c r="B143" s="78"/>
      <c r="C143" s="79">
        <v>2000</v>
      </c>
      <c r="D143" s="80">
        <f t="shared" si="14"/>
        <v>0</v>
      </c>
      <c r="E143" s="153">
        <f t="shared" si="13"/>
        <v>0</v>
      </c>
      <c r="F143" s="152">
        <f t="shared" si="12"/>
        <v>0</v>
      </c>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77"/>
      <c r="B144" s="78"/>
      <c r="C144" s="79">
        <v>2001</v>
      </c>
      <c r="D144" s="80">
        <f t="shared" si="14"/>
        <v>0</v>
      </c>
      <c r="E144" s="153">
        <f t="shared" si="13"/>
        <v>0</v>
      </c>
      <c r="F144" s="152">
        <f t="shared" si="12"/>
        <v>0</v>
      </c>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77"/>
      <c r="B145" s="78"/>
      <c r="C145" s="79">
        <v>2002</v>
      </c>
      <c r="D145" s="80">
        <f t="shared" si="14"/>
        <v>0</v>
      </c>
      <c r="E145" s="153">
        <f t="shared" si="13"/>
        <v>0</v>
      </c>
      <c r="F145" s="152">
        <f t="shared" si="12"/>
        <v>0</v>
      </c>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77"/>
      <c r="B146" s="78"/>
      <c r="C146" s="79">
        <v>2003</v>
      </c>
      <c r="D146" s="80">
        <f t="shared" si="14"/>
        <v>0</v>
      </c>
      <c r="E146" s="153">
        <f t="shared" si="13"/>
        <v>0</v>
      </c>
      <c r="F146" s="152">
        <f t="shared" si="12"/>
        <v>0</v>
      </c>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77"/>
      <c r="B147" s="78"/>
      <c r="C147" s="79">
        <v>2004</v>
      </c>
      <c r="D147" s="80">
        <f t="shared" si="14"/>
        <v>0</v>
      </c>
      <c r="E147" s="153">
        <f t="shared" si="13"/>
        <v>0</v>
      </c>
      <c r="F147" s="152">
        <f t="shared" si="12"/>
        <v>0</v>
      </c>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77"/>
      <c r="B148" s="78"/>
      <c r="C148" s="629">
        <v>2005</v>
      </c>
      <c r="D148" s="80">
        <f t="shared" si="14"/>
        <v>0</v>
      </c>
      <c r="E148" s="153">
        <f t="shared" ref="E148:E161" si="15">VLOOKUP(C148,Gas_Heavy_Duty_CH4_N2O, 2,FALSE)*D148</f>
        <v>0</v>
      </c>
      <c r="F148" s="152">
        <f t="shared" ref="F148:F161" si="16">VLOOKUP(C148,Gas_Heavy_Duty_CH4_N2O, 3,FALSE)*D148</f>
        <v>0</v>
      </c>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77"/>
      <c r="B149" s="78"/>
      <c r="C149" s="629">
        <v>2006</v>
      </c>
      <c r="D149" s="80">
        <f t="shared" si="14"/>
        <v>0</v>
      </c>
      <c r="E149" s="153">
        <f t="shared" si="15"/>
        <v>0</v>
      </c>
      <c r="F149" s="152">
        <f t="shared" si="16"/>
        <v>0</v>
      </c>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77"/>
      <c r="B150" s="78"/>
      <c r="C150" s="629">
        <v>2007</v>
      </c>
      <c r="D150" s="80">
        <f t="shared" si="14"/>
        <v>0</v>
      </c>
      <c r="E150" s="153">
        <f t="shared" si="15"/>
        <v>0</v>
      </c>
      <c r="F150" s="152">
        <f t="shared" si="16"/>
        <v>0</v>
      </c>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77"/>
      <c r="B151" s="78"/>
      <c r="C151" s="971">
        <v>2008</v>
      </c>
      <c r="D151" s="80">
        <f t="shared" si="14"/>
        <v>0</v>
      </c>
      <c r="E151" s="153">
        <f t="shared" si="15"/>
        <v>0</v>
      </c>
      <c r="F151" s="152">
        <f t="shared" si="16"/>
        <v>0</v>
      </c>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77"/>
      <c r="B152" s="78"/>
      <c r="C152" s="971">
        <v>2009</v>
      </c>
      <c r="D152" s="80">
        <f>SUMPRODUCT(--($C$20:$C$54=$A$135),--($D$20:$D$54=$C152),--($G$20:$G$54))</f>
        <v>0</v>
      </c>
      <c r="E152" s="153">
        <f t="shared" si="15"/>
        <v>0</v>
      </c>
      <c r="F152" s="152">
        <f t="shared" si="16"/>
        <v>0</v>
      </c>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77"/>
      <c r="B153" s="78"/>
      <c r="C153" s="971">
        <v>2010</v>
      </c>
      <c r="D153" s="80">
        <f t="shared" si="14"/>
        <v>0</v>
      </c>
      <c r="E153" s="153">
        <f t="shared" si="15"/>
        <v>0</v>
      </c>
      <c r="F153" s="152">
        <f t="shared" si="16"/>
        <v>0</v>
      </c>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77"/>
      <c r="B154" s="78"/>
      <c r="C154" s="971">
        <v>2011</v>
      </c>
      <c r="D154" s="80">
        <f t="shared" si="14"/>
        <v>0</v>
      </c>
      <c r="E154" s="153">
        <f t="shared" si="15"/>
        <v>0</v>
      </c>
      <c r="F154" s="152">
        <f t="shared" si="16"/>
        <v>0</v>
      </c>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77"/>
      <c r="B155" s="78"/>
      <c r="C155" s="971">
        <v>2012</v>
      </c>
      <c r="D155" s="80">
        <f t="shared" si="14"/>
        <v>0</v>
      </c>
      <c r="E155" s="153">
        <f t="shared" si="15"/>
        <v>0</v>
      </c>
      <c r="F155" s="152">
        <f t="shared" si="16"/>
        <v>0</v>
      </c>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77"/>
      <c r="B156" s="78"/>
      <c r="C156" s="971">
        <v>2013</v>
      </c>
      <c r="D156" s="80">
        <f t="shared" si="14"/>
        <v>0</v>
      </c>
      <c r="E156" s="153">
        <f t="shared" si="15"/>
        <v>0</v>
      </c>
      <c r="F156" s="152">
        <f t="shared" si="16"/>
        <v>0</v>
      </c>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77"/>
      <c r="B157" s="78"/>
      <c r="C157" s="971">
        <v>2014</v>
      </c>
      <c r="D157" s="80">
        <f t="shared" si="14"/>
        <v>0</v>
      </c>
      <c r="E157" s="153">
        <f t="shared" si="15"/>
        <v>0</v>
      </c>
      <c r="F157" s="152">
        <f t="shared" si="16"/>
        <v>0</v>
      </c>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77"/>
      <c r="B158" s="78"/>
      <c r="C158" s="971">
        <v>2015</v>
      </c>
      <c r="D158" s="80">
        <f t="shared" si="14"/>
        <v>0</v>
      </c>
      <c r="E158" s="153">
        <f t="shared" si="15"/>
        <v>0</v>
      </c>
      <c r="F158" s="152">
        <f t="shared" si="16"/>
        <v>0</v>
      </c>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77"/>
      <c r="B159" s="78"/>
      <c r="C159" s="971">
        <v>2016</v>
      </c>
      <c r="D159" s="80">
        <f t="shared" si="14"/>
        <v>0</v>
      </c>
      <c r="E159" s="153">
        <f t="shared" si="15"/>
        <v>0</v>
      </c>
      <c r="F159" s="152">
        <f t="shared" si="16"/>
        <v>0</v>
      </c>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77"/>
      <c r="B160" s="78"/>
      <c r="C160" s="971">
        <v>2017</v>
      </c>
      <c r="D160" s="80">
        <f t="shared" si="14"/>
        <v>0</v>
      </c>
      <c r="E160" s="153">
        <f t="shared" si="15"/>
        <v>0</v>
      </c>
      <c r="F160" s="152">
        <f t="shared" si="16"/>
        <v>0</v>
      </c>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ht="13.5" thickBot="1">
      <c r="A161" s="82"/>
      <c r="B161" s="83"/>
      <c r="C161" s="633">
        <v>2018</v>
      </c>
      <c r="D161" s="84">
        <f>SUMPRODUCT(--($C$20:$C$54=$A$135),--($D$20:$D$54&gt;=2018),--($G$20:$G$54))</f>
        <v>0</v>
      </c>
      <c r="E161" s="154">
        <f t="shared" si="15"/>
        <v>0</v>
      </c>
      <c r="F161" s="155">
        <f t="shared" si="16"/>
        <v>0</v>
      </c>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t="s">
        <v>1305</v>
      </c>
      <c r="B162" s="78"/>
      <c r="C162" s="953" t="s">
        <v>856</v>
      </c>
      <c r="D162" s="206">
        <f>SUMPRODUCT(--($C$20:$C$54=$A$162),--($D$20:$D$54&lt;=1995),--($G$20:$G$54))</f>
        <v>0</v>
      </c>
      <c r="E162" s="210">
        <f>VLOOKUP(C162,Gas_Motorcycle_CH4_N2O, 2,FALSE)*D162</f>
        <v>0</v>
      </c>
      <c r="F162" s="207">
        <f>VLOOKUP(C162,Gas_Motorcycle_CH4_N2O, 3,FALSE)*D162</f>
        <v>0</v>
      </c>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ht="13.5" thickBot="1">
      <c r="A163" s="82"/>
      <c r="B163" s="83"/>
      <c r="C163" s="633" t="s">
        <v>15</v>
      </c>
      <c r="D163" s="84">
        <f>SUMPRODUCT(--($C$20:$C$54=$A$162),--($D$20:$D$54&gt;=1996),--($G$20:$G$54))</f>
        <v>0</v>
      </c>
      <c r="E163" s="154">
        <f>VLOOKUP(C163,Gas_Motorcycle_CH4_N2O, 2,FALSE)*D163</f>
        <v>0</v>
      </c>
      <c r="F163" s="155">
        <f>VLOOKUP(C163,Gas_Motorcycle_CH4_N2O, 3,FALSE)*D163</f>
        <v>0</v>
      </c>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78"/>
      <c r="B164" s="78"/>
      <c r="C164" s="78"/>
      <c r="D164" s="95"/>
      <c r="E164" s="96"/>
      <c r="F164" s="97"/>
      <c r="G164" s="514"/>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ht="15" thickBot="1">
      <c r="A165" s="13" t="s">
        <v>1373</v>
      </c>
      <c r="B165" s="13"/>
      <c r="C165" s="13"/>
      <c r="D165" s="10"/>
      <c r="E165" s="10"/>
      <c r="F165" s="1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ht="15" thickBot="1">
      <c r="A166" s="617" t="s">
        <v>145</v>
      </c>
      <c r="B166" s="976" t="s">
        <v>171</v>
      </c>
      <c r="C166" s="608" t="s">
        <v>304</v>
      </c>
      <c r="D166" s="265" t="s">
        <v>305</v>
      </c>
      <c r="E166" s="265" t="s">
        <v>306</v>
      </c>
      <c r="F166" s="266" t="s">
        <v>307</v>
      </c>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1219" t="s">
        <v>1306</v>
      </c>
      <c r="B167" s="1221" t="s">
        <v>1178</v>
      </c>
      <c r="C167" s="926" t="s">
        <v>13</v>
      </c>
      <c r="D167" s="76">
        <f>SUMPRODUCT(--($C$20:$C$54=$A$167),--($D$20:$D$54&lt;=1982),--($G$20:$G$54))</f>
        <v>0</v>
      </c>
      <c r="E167" s="156">
        <f>VLOOKUP($C167,Diesel_pass_CH4_N2O, 2,FALSE)*$D167</f>
        <v>0</v>
      </c>
      <c r="F167" s="1017">
        <f>VLOOKUP($C167,Diesel_pass_CH4_N2O, 3,FALSE)*$D167</f>
        <v>0</v>
      </c>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1225"/>
      <c r="B168" s="1226"/>
      <c r="C168" s="927" t="s">
        <v>14</v>
      </c>
      <c r="D168" s="269">
        <f>SUMPRODUCT(--($C$20:$C$54=$A$167),--($D$20:$D$54&gt;=1983),--($D$20:$D$54&lt;=1995),--($G$20:$G$54))</f>
        <v>0</v>
      </c>
      <c r="E168" s="153">
        <f>VLOOKUP($C168,Diesel_pass_CH4_N2O, 2,FALSE)*$D168</f>
        <v>0</v>
      </c>
      <c r="F168" s="954">
        <f>VLOOKUP($C168,Diesel_pass_CH4_N2O, 3,FALSE)*$D168</f>
        <v>0</v>
      </c>
      <c r="G168" s="230"/>
      <c r="H168" s="230"/>
      <c r="I168" s="469"/>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1225"/>
      <c r="B169" s="1226"/>
      <c r="C169" s="927" t="s">
        <v>1192</v>
      </c>
      <c r="D169" s="269">
        <f>SUMPRODUCT(--($C$20:$C$54=$A$167),--($D$20:$D$54&gt;=1996),--($D$20:$D$54&lt;=2006),--($G$20:$G$54))</f>
        <v>0</v>
      </c>
      <c r="E169" s="153">
        <f>VLOOKUP($C169,Diesel_pass_CH4_N2O, 2,FALSE)*$D169</f>
        <v>0</v>
      </c>
      <c r="F169" s="954">
        <f>VLOOKUP($C169,Diesel_pass_CH4_N2O, 3,FALSE)*$D169</f>
        <v>0</v>
      </c>
      <c r="G169" s="230"/>
      <c r="H169" s="230"/>
      <c r="I169" s="469"/>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ht="13.5" thickBot="1">
      <c r="A170" s="1220"/>
      <c r="B170" s="1222"/>
      <c r="C170" s="1018" t="s">
        <v>1179</v>
      </c>
      <c r="D170" s="272">
        <f>SUMPRODUCT(--($C$20:$C$54=$A$167),--($D$20:$D$54&gt;=2007),--($G$20:$G$54))</f>
        <v>0</v>
      </c>
      <c r="E170" s="154">
        <f>VLOOKUP($C170,Diesel_pass_CH4_N2O, 2,FALSE)*$D170</f>
        <v>0</v>
      </c>
      <c r="F170" s="1019">
        <f>VLOOKUP($C170,Diesel_pass_CH4_N2O, 3,FALSE)*$D170</f>
        <v>0</v>
      </c>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1219" t="s">
        <v>1307</v>
      </c>
      <c r="B171" s="1221" t="s">
        <v>1178</v>
      </c>
      <c r="C171" s="926" t="s">
        <v>13</v>
      </c>
      <c r="D171" s="93">
        <f>SUMPRODUCT(--($C$20:$C$54=$A$171),--($D$20:$D$54&lt;=1982),--($G$20:$G$54))</f>
        <v>0</v>
      </c>
      <c r="E171" s="156">
        <f>VLOOKUP($C171,Diesel_Lt_Trucks_CH4_N2O, 2,FALSE)*$D171</f>
        <v>0</v>
      </c>
      <c r="F171" s="1017">
        <f>VLOOKUP($C171,Diesel_Lt_Trucks_CH4_N2O, 3,FALSE)*$D171</f>
        <v>0</v>
      </c>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1225"/>
      <c r="B172" s="1226"/>
      <c r="C172" s="927" t="s">
        <v>14</v>
      </c>
      <c r="D172" s="269">
        <f>SUMPRODUCT(--($C$20:$C$54=$A$171),--($D$20:$D$54&gt;=1983),--($D$20:$D$54&lt;=1995),--($G$20:$G$54))</f>
        <v>0</v>
      </c>
      <c r="E172" s="210">
        <f>VLOOKUP($C172,Diesel_Lt_Trucks_CH4_N2O, 2,FALSE)*$D172</f>
        <v>0</v>
      </c>
      <c r="F172" s="955">
        <f>VLOOKUP($C172,Diesel_Lt_Trucks_CH4_N2O, 3,FALSE)*$D172</f>
        <v>0</v>
      </c>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1225"/>
      <c r="B173" s="1226"/>
      <c r="C173" s="927" t="s">
        <v>1192</v>
      </c>
      <c r="D173" s="269">
        <f>SUMPRODUCT(--($C$20:$C$54=$A$171),--($D$20:$D$54&gt;=1996),--($D$20:$D$54&lt;=2006),--($G$20:$G$54))</f>
        <v>0</v>
      </c>
      <c r="E173" s="210">
        <f>VLOOKUP($C173,Diesel_Lt_Trucks_CH4_N2O, 2,FALSE)*$D173</f>
        <v>0</v>
      </c>
      <c r="F173" s="955">
        <f>VLOOKUP($C173,Diesel_Lt_Trucks_CH4_N2O, 3,FALSE)*$D173</f>
        <v>0</v>
      </c>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ht="13.5" thickBot="1">
      <c r="A174" s="1220"/>
      <c r="B174" s="1222"/>
      <c r="C174" s="1020" t="s">
        <v>1179</v>
      </c>
      <c r="D174" s="272">
        <f>SUMPRODUCT(--($C$20:$C$54=$A$171),--($D$20:$D$54&gt;=2007),--($G$20:$G$54))</f>
        <v>0</v>
      </c>
      <c r="E174" s="1021">
        <f>VLOOKUP($C174,Diesel_Lt_Trucks_CH4_N2O, 2,FALSE)*$D174</f>
        <v>0</v>
      </c>
      <c r="F174" s="956">
        <f>VLOOKUP($C174,Diesel_Lt_Trucks_CH4_N2O, 3,FALSE)*$D174</f>
        <v>0</v>
      </c>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1219" t="s">
        <v>1308</v>
      </c>
      <c r="B175" s="1221" t="s">
        <v>1178</v>
      </c>
      <c r="C175" s="926" t="s">
        <v>1182</v>
      </c>
      <c r="D175" s="93">
        <f>SUMPRODUCT(--($C$20:$C$54=$A$175),--($D$20:$D$54&lt;=2006),--($G$20:$G$54))</f>
        <v>0</v>
      </c>
      <c r="E175" s="156">
        <f>VLOOKUP($C175,Diesel_Heavy_Trucks_CH4_N2O, 2,FALSE)*$D175</f>
        <v>0</v>
      </c>
      <c r="F175" s="1017">
        <f>VLOOKUP($C175,Diesel_Heavy_Trucks_CH4_N2O, 3,FALSE)*$D175</f>
        <v>0</v>
      </c>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ht="13.5" thickBot="1">
      <c r="A176" s="1220"/>
      <c r="B176" s="1222"/>
      <c r="C176" s="1020" t="s">
        <v>1179</v>
      </c>
      <c r="D176" s="272">
        <f>SUMPRODUCT(--($C$20:$C$54=$A$175),--($D$20:$D$54&gt;=2007),--($G$20:$G$54))</f>
        <v>0</v>
      </c>
      <c r="E176" s="1021">
        <f>VLOOKUP($C176,Diesel_Heavy_Trucks_CH4_N2O, 2,FALSE)*$D176</f>
        <v>0</v>
      </c>
      <c r="F176" s="956">
        <f>VLOOKUP($C176,Diesel_Heavy_Trucks_CH4_N2O, 3,FALSE)*$D176</f>
        <v>0</v>
      </c>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1209" t="s">
        <v>1183</v>
      </c>
      <c r="B177" s="1026" t="s">
        <v>1184</v>
      </c>
      <c r="C177" s="1027"/>
      <c r="D177" s="1031">
        <f>SUMIF($C$20:$C$54,$A$177&amp;" - "&amp;B177,$G$20:$G$54)</f>
        <v>0</v>
      </c>
      <c r="E177" s="156">
        <f>'Emission Factors'!D141*D177</f>
        <v>0</v>
      </c>
      <c r="F177" s="151">
        <f>'Emission Factors'!E141*D177</f>
        <v>0</v>
      </c>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1210"/>
      <c r="B178" s="1024" t="s">
        <v>222</v>
      </c>
      <c r="C178" s="928"/>
      <c r="D178" s="1032">
        <f t="shared" ref="D178:D181" si="17">SUMIF($C$20:$C$54,$A$177&amp;" - "&amp;B178,$G$20:$G$54)</f>
        <v>0</v>
      </c>
      <c r="E178" s="210">
        <f>'Emission Factors'!D142*D178</f>
        <v>0</v>
      </c>
      <c r="F178" s="207">
        <f>'Emission Factors'!E142*D178</f>
        <v>0</v>
      </c>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1210"/>
      <c r="B179" s="1024" t="s">
        <v>1185</v>
      </c>
      <c r="C179" s="928"/>
      <c r="D179" s="1032">
        <f t="shared" si="17"/>
        <v>0</v>
      </c>
      <c r="E179" s="210">
        <f>'Emission Factors'!D143*D179</f>
        <v>0</v>
      </c>
      <c r="F179" s="207">
        <f>'Emission Factors'!E143*D179</f>
        <v>0</v>
      </c>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1210"/>
      <c r="B180" s="1024" t="s">
        <v>1186</v>
      </c>
      <c r="C180" s="928"/>
      <c r="D180" s="1032">
        <f>SUMIF($C$20:$C$54,$A$177&amp;" - "&amp;B180,$G$20:$G$54)</f>
        <v>0</v>
      </c>
      <c r="E180" s="210">
        <f>'Emission Factors'!D144*D180</f>
        <v>0</v>
      </c>
      <c r="F180" s="207">
        <f>'Emission Factors'!E144*D180</f>
        <v>0</v>
      </c>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ht="13.5" thickBot="1">
      <c r="A181" s="1211"/>
      <c r="B181" s="1028" t="s">
        <v>1187</v>
      </c>
      <c r="C181" s="1029"/>
      <c r="D181" s="1077">
        <f t="shared" si="17"/>
        <v>0</v>
      </c>
      <c r="E181" s="1021">
        <f>'Emission Factors'!D145*D181</f>
        <v>0</v>
      </c>
      <c r="F181" s="1030">
        <f>'Emission Factors'!E145*D181</f>
        <v>0</v>
      </c>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1209" t="s">
        <v>1180</v>
      </c>
      <c r="B182" s="1026" t="s">
        <v>222</v>
      </c>
      <c r="C182" s="1027"/>
      <c r="D182" s="1078">
        <f>SUMIF($C$20:$C$54,$A$182&amp;" - "&amp;B182,$G$20:$G$54)</f>
        <v>0</v>
      </c>
      <c r="E182" s="156">
        <f>'Emission Factors'!D146*D182</f>
        <v>0</v>
      </c>
      <c r="F182" s="151">
        <f>'Emission Factors'!E146*D182</f>
        <v>0</v>
      </c>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1210"/>
      <c r="B183" s="1024" t="s">
        <v>1185</v>
      </c>
      <c r="C183" s="928"/>
      <c r="D183" s="1079">
        <f>SUMIF($C$20:$C$54,$A$182&amp;" - "&amp;B183,$G$20:$G$54)</f>
        <v>0</v>
      </c>
      <c r="E183" s="210">
        <f>'Emission Factors'!D147*D183</f>
        <v>0</v>
      </c>
      <c r="F183" s="207">
        <f>'Emission Factors'!E147*D183</f>
        <v>0</v>
      </c>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1210"/>
      <c r="B184" s="1024" t="s">
        <v>1186</v>
      </c>
      <c r="C184" s="928"/>
      <c r="D184" s="1079">
        <f>SUMIF($C$20:$C$54,$A$182&amp;" - "&amp;B184,$G$20:$G$54)</f>
        <v>0</v>
      </c>
      <c r="E184" s="210">
        <f>'Emission Factors'!D148*D184</f>
        <v>0</v>
      </c>
      <c r="F184" s="207">
        <f>'Emission Factors'!E148*D184</f>
        <v>0</v>
      </c>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1210"/>
      <c r="B185" s="1024" t="s">
        <v>1188</v>
      </c>
      <c r="C185" s="928"/>
      <c r="D185" s="1079">
        <f>SUMIF($C$20:$C$54,$A$182&amp;" - "&amp;B185,$G$20:$G$54)</f>
        <v>0</v>
      </c>
      <c r="E185" s="210">
        <f>'Emission Factors'!D149*D185</f>
        <v>0</v>
      </c>
      <c r="F185" s="207">
        <f>'Emission Factors'!E149*D185</f>
        <v>0</v>
      </c>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ht="13.5" thickBot="1">
      <c r="A186" s="1211"/>
      <c r="B186" s="1028" t="s">
        <v>1187</v>
      </c>
      <c r="C186" s="1029"/>
      <c r="D186" s="1077">
        <f>SUMIF($C$20:$C$54,$A$182&amp;" - "&amp;B186,$G$20:$G$54)</f>
        <v>0</v>
      </c>
      <c r="E186" s="1021">
        <f>'Emission Factors'!D150*D186</f>
        <v>0</v>
      </c>
      <c r="F186" s="1030">
        <f>'Emission Factors'!E150*D186</f>
        <v>0</v>
      </c>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1209" t="s">
        <v>1189</v>
      </c>
      <c r="B187" s="1026" t="s">
        <v>1185</v>
      </c>
      <c r="C187" s="1027"/>
      <c r="D187" s="1078">
        <f>SUMIF($C$20:$C$54,$A$187&amp;" - "&amp;B187,$G$20:$G$54)</f>
        <v>0</v>
      </c>
      <c r="E187" s="156">
        <f>'Emission Factors'!D151*D187</f>
        <v>0</v>
      </c>
      <c r="F187" s="151">
        <f>'Emission Factors'!E151*D187</f>
        <v>0</v>
      </c>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1210"/>
      <c r="B188" s="1024" t="s">
        <v>1186</v>
      </c>
      <c r="C188" s="928"/>
      <c r="D188" s="1079">
        <f t="shared" ref="D188" si="18">SUMIF($C$20:$C$54,$A$187&amp;" - "&amp;B188,$G$20:$G$54)</f>
        <v>0</v>
      </c>
      <c r="E188" s="210">
        <f>'Emission Factors'!D152*D188</f>
        <v>0</v>
      </c>
      <c r="F188" s="207">
        <f>'Emission Factors'!E152*D188</f>
        <v>0</v>
      </c>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1210"/>
      <c r="B189" s="1024" t="s">
        <v>1188</v>
      </c>
      <c r="C189" s="928"/>
      <c r="D189" s="1079">
        <f>SUMIF($C$20:$C$54,$A$187&amp;" - "&amp;B189,$G$20:$G$54)</f>
        <v>0</v>
      </c>
      <c r="E189" s="210">
        <f>'Emission Factors'!D153*D189</f>
        <v>0</v>
      </c>
      <c r="F189" s="207">
        <f>'Emission Factors'!E153*D189</f>
        <v>0</v>
      </c>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ht="13.5" thickBot="1">
      <c r="A190" s="1211"/>
      <c r="B190" s="1028" t="s">
        <v>1187</v>
      </c>
      <c r="C190" s="1029"/>
      <c r="D190" s="1077">
        <f>SUMIF($C$20:$C$54,$A$187&amp;" - "&amp;B190,$G$20:$G$54)</f>
        <v>0</v>
      </c>
      <c r="E190" s="1021">
        <f>'Emission Factors'!D154*D190</f>
        <v>0</v>
      </c>
      <c r="F190" s="1030">
        <f>'Emission Factors'!E154*D190</f>
        <v>0</v>
      </c>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1209" t="s">
        <v>1190</v>
      </c>
      <c r="B191" s="1026" t="s">
        <v>1184</v>
      </c>
      <c r="C191" s="1027"/>
      <c r="D191" s="1078">
        <f t="shared" ref="D191:D196" si="19">SUMIF($C$20:$C$54,$A$191&amp;" - "&amp;B191,$G$20:$G$54)</f>
        <v>0</v>
      </c>
      <c r="E191" s="156">
        <f>'Emission Factors'!D155*D191</f>
        <v>0</v>
      </c>
      <c r="F191" s="151">
        <f>'Emission Factors'!E155*D191</f>
        <v>0</v>
      </c>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1210"/>
      <c r="B192" s="1024" t="s">
        <v>222</v>
      </c>
      <c r="C192" s="928"/>
      <c r="D192" s="1079">
        <f t="shared" si="19"/>
        <v>0</v>
      </c>
      <c r="E192" s="210">
        <f>'Emission Factors'!D156*D192</f>
        <v>0</v>
      </c>
      <c r="F192" s="207">
        <f>'Emission Factors'!E156*D192</f>
        <v>0</v>
      </c>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1210"/>
      <c r="B193" s="1024" t="s">
        <v>1185</v>
      </c>
      <c r="C193" s="928"/>
      <c r="D193" s="1079">
        <f t="shared" si="19"/>
        <v>0</v>
      </c>
      <c r="E193" s="210">
        <f>'Emission Factors'!D157*D193</f>
        <v>0</v>
      </c>
      <c r="F193" s="207">
        <f>'Emission Factors'!E157*D193</f>
        <v>0</v>
      </c>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1210"/>
      <c r="B194" s="1024" t="s">
        <v>1186</v>
      </c>
      <c r="C194" s="928"/>
      <c r="D194" s="1079">
        <f t="shared" si="19"/>
        <v>0</v>
      </c>
      <c r="E194" s="210">
        <f>'Emission Factors'!D158*D194</f>
        <v>0</v>
      </c>
      <c r="F194" s="207">
        <f>'Emission Factors'!E158*D194</f>
        <v>0</v>
      </c>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1210"/>
      <c r="B195" s="1024" t="s">
        <v>1188</v>
      </c>
      <c r="C195" s="928"/>
      <c r="D195" s="1079">
        <f t="shared" si="19"/>
        <v>0</v>
      </c>
      <c r="E195" s="210">
        <f>'Emission Factors'!D159*D195</f>
        <v>0</v>
      </c>
      <c r="F195" s="207">
        <f>'Emission Factors'!E159*D195</f>
        <v>0</v>
      </c>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ht="13.5" thickBot="1">
      <c r="A196" s="1211"/>
      <c r="B196" s="1028" t="s">
        <v>1187</v>
      </c>
      <c r="C196" s="1029"/>
      <c r="D196" s="1077">
        <f t="shared" si="19"/>
        <v>0</v>
      </c>
      <c r="E196" s="1021">
        <f>'Emission Factors'!D160*D196</f>
        <v>0</v>
      </c>
      <c r="F196" s="1030">
        <f>'Emission Factors'!E160*D196</f>
        <v>0</v>
      </c>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1209" t="s">
        <v>1191</v>
      </c>
      <c r="B197" s="1026" t="s">
        <v>1184</v>
      </c>
      <c r="C197" s="1027"/>
      <c r="D197" s="1078">
        <f t="shared" ref="D197:D202" si="20">SUMIF($C$20:$C$54,$A$197&amp;" - "&amp;B197,$G$20:$G$54)</f>
        <v>0</v>
      </c>
      <c r="E197" s="156">
        <f>'Emission Factors'!D161*D197</f>
        <v>0</v>
      </c>
      <c r="F197" s="151">
        <f>'Emission Factors'!E161*D197</f>
        <v>0</v>
      </c>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1210"/>
      <c r="B198" s="1025" t="s">
        <v>222</v>
      </c>
      <c r="C198" s="928"/>
      <c r="D198" s="1079">
        <f>SUMIF($C$20:$C$54,$A$197&amp;" - "&amp;B198,$G$20:$G$54)</f>
        <v>0</v>
      </c>
      <c r="E198" s="210">
        <f>'Emission Factors'!D162*D198</f>
        <v>0</v>
      </c>
      <c r="F198" s="207">
        <f>'Emission Factors'!E162*D198</f>
        <v>0</v>
      </c>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1210"/>
      <c r="B199" s="1025" t="s">
        <v>1185</v>
      </c>
      <c r="C199" s="928"/>
      <c r="D199" s="1079">
        <f t="shared" si="20"/>
        <v>0</v>
      </c>
      <c r="E199" s="210">
        <f>'Emission Factors'!D163*D199</f>
        <v>0</v>
      </c>
      <c r="F199" s="207">
        <f>'Emission Factors'!E163*D199</f>
        <v>0</v>
      </c>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row r="200" spans="1:30">
      <c r="A200" s="1210"/>
      <c r="B200" s="1025" t="s">
        <v>1186</v>
      </c>
      <c r="C200" s="928"/>
      <c r="D200" s="1079">
        <f t="shared" si="20"/>
        <v>0</v>
      </c>
      <c r="E200" s="210">
        <f>'Emission Factors'!D164*D200</f>
        <v>0</v>
      </c>
      <c r="F200" s="207">
        <f>'Emission Factors'!E164*D200</f>
        <v>0</v>
      </c>
      <c r="G200" s="230"/>
      <c r="H200" s="230"/>
      <c r="I200" s="257"/>
      <c r="J200" s="230"/>
      <c r="K200" s="230"/>
      <c r="L200" s="230"/>
      <c r="M200" s="230"/>
      <c r="N200" s="230"/>
      <c r="O200" s="230"/>
      <c r="P200" s="230"/>
      <c r="Q200" s="230"/>
      <c r="R200" s="230"/>
      <c r="S200" s="230"/>
      <c r="T200" s="230"/>
      <c r="U200" s="230"/>
      <c r="V200" s="230"/>
      <c r="W200" s="230"/>
      <c r="X200" s="230"/>
      <c r="Y200" s="230"/>
      <c r="Z200" s="230"/>
      <c r="AA200" s="230"/>
      <c r="AB200" s="230"/>
      <c r="AC200" s="230"/>
      <c r="AD200" s="230"/>
    </row>
    <row r="201" spans="1:30">
      <c r="A201" s="1210"/>
      <c r="B201" s="1025" t="s">
        <v>1188</v>
      </c>
      <c r="C201" s="928"/>
      <c r="D201" s="1079">
        <f t="shared" si="20"/>
        <v>0</v>
      </c>
      <c r="E201" s="210">
        <f>'Emission Factors'!D165*D201</f>
        <v>0</v>
      </c>
      <c r="F201" s="207">
        <f>'Emission Factors'!E165*D201</f>
        <v>0</v>
      </c>
      <c r="G201" s="230"/>
      <c r="H201" s="230"/>
      <c r="I201" s="257"/>
      <c r="J201" s="230"/>
      <c r="K201" s="230"/>
      <c r="L201" s="230"/>
      <c r="M201" s="230"/>
      <c r="N201" s="230"/>
      <c r="O201" s="230"/>
      <c r="P201" s="230"/>
      <c r="Q201" s="230"/>
      <c r="R201" s="230"/>
      <c r="S201" s="230"/>
      <c r="T201" s="230"/>
      <c r="U201" s="230"/>
      <c r="V201" s="230"/>
      <c r="W201" s="230"/>
      <c r="X201" s="230"/>
      <c r="Y201" s="230"/>
      <c r="Z201" s="230"/>
      <c r="AA201" s="230"/>
      <c r="AB201" s="230"/>
      <c r="AC201" s="230"/>
      <c r="AD201" s="230"/>
    </row>
    <row r="202" spans="1:30" ht="13.5" thickBot="1">
      <c r="A202" s="1211"/>
      <c r="B202" s="984" t="s">
        <v>1187</v>
      </c>
      <c r="C202" s="930"/>
      <c r="D202" s="1077">
        <f t="shared" si="20"/>
        <v>0</v>
      </c>
      <c r="E202" s="1021">
        <f>'Emission Factors'!D166*D202</f>
        <v>0</v>
      </c>
      <c r="F202" s="1030">
        <f>'Emission Factors'!E166*D202</f>
        <v>0</v>
      </c>
      <c r="G202" s="230"/>
      <c r="H202" s="230"/>
      <c r="I202" s="257"/>
      <c r="J202" s="230"/>
      <c r="K202" s="230"/>
      <c r="L202" s="230"/>
      <c r="M202" s="230"/>
      <c r="N202" s="230"/>
      <c r="O202" s="230"/>
      <c r="P202" s="230"/>
      <c r="Q202" s="230"/>
      <c r="R202" s="230"/>
      <c r="S202" s="230"/>
      <c r="T202" s="230"/>
      <c r="U202" s="230"/>
      <c r="V202" s="230"/>
      <c r="W202" s="230"/>
      <c r="X202" s="230"/>
      <c r="Y202" s="230"/>
      <c r="Z202" s="230"/>
      <c r="AA202" s="230"/>
      <c r="AB202" s="230"/>
      <c r="AC202" s="230"/>
      <c r="AD202" s="230"/>
    </row>
    <row r="203" spans="1:30">
      <c r="A203" s="78"/>
      <c r="B203" s="78"/>
      <c r="C203" s="78"/>
      <c r="D203" s="78"/>
      <c r="E203" s="96"/>
      <c r="F203" s="106"/>
      <c r="G203" s="515"/>
      <c r="H203" s="230"/>
      <c r="I203" s="230"/>
      <c r="J203" s="230"/>
      <c r="K203" s="230"/>
      <c r="L203" s="230"/>
      <c r="M203" s="230"/>
      <c r="N203" s="230"/>
      <c r="O203" s="230"/>
      <c r="P203" s="230"/>
      <c r="Q203" s="230"/>
      <c r="R203" s="230"/>
      <c r="S203" s="230"/>
      <c r="T203" s="230"/>
      <c r="U203" s="230"/>
      <c r="V203" s="230"/>
      <c r="W203" s="230"/>
      <c r="X203" s="230"/>
      <c r="Y203" s="230"/>
      <c r="Z203" s="230"/>
      <c r="AA203" s="230"/>
      <c r="AB203" s="230"/>
      <c r="AC203" s="230"/>
      <c r="AD203" s="230"/>
    </row>
    <row r="204" spans="1:30" ht="15" thickBot="1">
      <c r="A204" s="13" t="s">
        <v>1374</v>
      </c>
      <c r="B204" s="13"/>
      <c r="C204" s="13"/>
      <c r="D204" s="10"/>
      <c r="E204" s="10"/>
      <c r="F204" s="106"/>
      <c r="G204" s="515"/>
      <c r="H204" s="230"/>
      <c r="I204" s="230"/>
      <c r="J204" s="230"/>
      <c r="K204" s="230"/>
      <c r="L204" s="230"/>
      <c r="M204" s="230"/>
      <c r="N204" s="230"/>
      <c r="O204" s="230"/>
      <c r="P204" s="230"/>
      <c r="Q204" s="230"/>
      <c r="R204" s="230"/>
      <c r="S204" s="230"/>
      <c r="T204" s="230"/>
      <c r="U204" s="230"/>
      <c r="V204" s="230"/>
      <c r="W204" s="230"/>
      <c r="X204" s="230"/>
      <c r="Y204" s="230"/>
      <c r="Z204" s="230"/>
      <c r="AA204" s="230"/>
      <c r="AB204" s="230"/>
      <c r="AC204" s="230"/>
      <c r="AD204" s="230"/>
    </row>
    <row r="205" spans="1:30" ht="15" thickBot="1">
      <c r="A205" s="1034" t="s">
        <v>145</v>
      </c>
      <c r="B205" s="1035" t="s">
        <v>171</v>
      </c>
      <c r="C205" s="880" t="s">
        <v>311</v>
      </c>
      <c r="D205" s="1033" t="s">
        <v>312</v>
      </c>
      <c r="E205" s="616" t="s">
        <v>307</v>
      </c>
      <c r="F205" s="106"/>
      <c r="G205" s="515"/>
      <c r="H205" s="230"/>
      <c r="I205" s="230"/>
      <c r="J205" s="230"/>
      <c r="K205" s="230"/>
      <c r="L205" s="230"/>
      <c r="M205" s="230"/>
      <c r="N205" s="230"/>
      <c r="O205" s="230"/>
      <c r="P205" s="230"/>
      <c r="Q205" s="230"/>
      <c r="R205" s="230"/>
      <c r="S205" s="230"/>
      <c r="T205" s="230"/>
      <c r="U205" s="230"/>
      <c r="V205" s="230"/>
      <c r="W205" s="230"/>
      <c r="X205" s="230"/>
      <c r="Y205" s="230"/>
      <c r="Z205" s="230"/>
      <c r="AA205" s="230"/>
      <c r="AB205" s="230"/>
      <c r="AC205" s="230"/>
      <c r="AD205" s="230"/>
    </row>
    <row r="206" spans="1:30">
      <c r="A206" s="1209" t="s">
        <v>257</v>
      </c>
      <c r="B206" s="1026" t="s">
        <v>1195</v>
      </c>
      <c r="C206" s="1038">
        <f>SUMIF($C$20:$C$54,$A$206&amp;" - "&amp;B206,$E$20:$E$54)</f>
        <v>0</v>
      </c>
      <c r="D206" s="1038">
        <f>'Emission Factors'!C173*C206</f>
        <v>0</v>
      </c>
      <c r="E206" s="1039">
        <f>'Emission Factors'!D173*C206</f>
        <v>0</v>
      </c>
      <c r="F206" s="106"/>
      <c r="G206" s="515"/>
      <c r="H206" s="230"/>
      <c r="I206" s="230"/>
      <c r="J206" s="465"/>
      <c r="K206" s="465"/>
      <c r="L206" s="230"/>
      <c r="M206" s="230"/>
      <c r="N206" s="230"/>
      <c r="O206" s="230"/>
      <c r="P206" s="230"/>
      <c r="Q206" s="230"/>
      <c r="R206" s="230"/>
      <c r="S206" s="230"/>
      <c r="T206" s="230"/>
      <c r="U206" s="230"/>
      <c r="V206" s="230"/>
      <c r="W206" s="230"/>
      <c r="X206" s="230"/>
      <c r="Y206" s="230"/>
      <c r="Z206" s="230"/>
      <c r="AA206" s="230"/>
      <c r="AB206" s="230"/>
      <c r="AC206" s="230"/>
      <c r="AD206" s="230"/>
    </row>
    <row r="207" spans="1:30" ht="13.5" thickBot="1">
      <c r="A207" s="1211"/>
      <c r="B207" s="1028" t="s">
        <v>668</v>
      </c>
      <c r="C207" s="223">
        <f>SUMIF($C$20:$C$54,$A$206&amp;" - "&amp;B207,$E$20:$E$54)</f>
        <v>0</v>
      </c>
      <c r="D207" s="223">
        <f>'Emission Factors'!C174*C207</f>
        <v>0</v>
      </c>
      <c r="E207" s="159">
        <f>'Emission Factors'!D174*C207</f>
        <v>0</v>
      </c>
      <c r="F207" s="106"/>
      <c r="G207" s="515"/>
      <c r="H207" s="230"/>
      <c r="I207" s="230"/>
      <c r="J207" s="465"/>
      <c r="K207" s="465"/>
      <c r="L207" s="230"/>
      <c r="M207" s="230"/>
      <c r="N207" s="230"/>
      <c r="O207" s="230"/>
      <c r="P207" s="230"/>
      <c r="Q207" s="230"/>
      <c r="R207" s="230"/>
      <c r="S207" s="230"/>
      <c r="T207" s="230"/>
      <c r="U207" s="230"/>
      <c r="V207" s="230"/>
      <c r="W207" s="230"/>
      <c r="X207" s="230"/>
      <c r="Y207" s="230"/>
      <c r="Z207" s="230"/>
      <c r="AA207" s="230"/>
      <c r="AB207" s="230"/>
      <c r="AC207" s="230"/>
      <c r="AD207" s="230"/>
    </row>
    <row r="208" spans="1:30">
      <c r="A208" s="1209" t="s">
        <v>1193</v>
      </c>
      <c r="B208" s="1026" t="s">
        <v>845</v>
      </c>
      <c r="C208" s="446">
        <f>SUMIF($C$20:$C$54,$A$208&amp;" - "&amp;B208,$E$20:$E$54)</f>
        <v>0</v>
      </c>
      <c r="D208" s="446">
        <f>'Emission Factors'!C175*C208</f>
        <v>0</v>
      </c>
      <c r="E208" s="447">
        <f>'Emission Factors'!D175*C208</f>
        <v>0</v>
      </c>
      <c r="F208" s="106"/>
      <c r="G208" s="515"/>
      <c r="H208" s="257"/>
      <c r="I208" s="257"/>
      <c r="J208" s="230"/>
      <c r="K208" s="230"/>
      <c r="L208" s="230"/>
      <c r="M208" s="230"/>
      <c r="N208" s="230"/>
      <c r="O208" s="230"/>
      <c r="P208" s="230"/>
      <c r="Q208" s="230"/>
      <c r="R208" s="230"/>
      <c r="S208" s="230"/>
      <c r="T208" s="230"/>
      <c r="U208" s="230"/>
      <c r="V208" s="230"/>
      <c r="W208" s="230"/>
      <c r="X208" s="230"/>
      <c r="Y208" s="230"/>
      <c r="Z208" s="230"/>
      <c r="AA208" s="230"/>
      <c r="AB208" s="230"/>
      <c r="AC208" s="230"/>
      <c r="AD208" s="230"/>
    </row>
    <row r="209" spans="1:30">
      <c r="A209" s="1210"/>
      <c r="B209" s="1024" t="s">
        <v>1197</v>
      </c>
      <c r="C209" s="220">
        <f t="shared" ref="C209:C210" si="21">SUMIF($C$20:$C$54,$A$208&amp;" - "&amp;B209,$E$20:$E$54)</f>
        <v>0</v>
      </c>
      <c r="D209" s="220">
        <f>'Emission Factors'!C176*C209</f>
        <v>0</v>
      </c>
      <c r="E209" s="143">
        <f>'Emission Factors'!D176*C209</f>
        <v>0</v>
      </c>
      <c r="F209" s="106"/>
      <c r="G209" s="515"/>
      <c r="H209" s="230"/>
      <c r="I209" s="230"/>
      <c r="J209" s="465"/>
      <c r="K209" s="465"/>
      <c r="L209" s="230"/>
      <c r="M209" s="230"/>
      <c r="N209" s="230"/>
      <c r="O209" s="230"/>
      <c r="P209" s="230"/>
      <c r="Q209" s="230"/>
      <c r="R209" s="230"/>
      <c r="S209" s="230"/>
      <c r="T209" s="230"/>
      <c r="U209" s="230"/>
      <c r="V209" s="230"/>
      <c r="W209" s="230"/>
      <c r="X209" s="230"/>
      <c r="Y209" s="230"/>
      <c r="Z209" s="230"/>
      <c r="AA209" s="230"/>
      <c r="AB209" s="230"/>
      <c r="AC209" s="230"/>
      <c r="AD209" s="230"/>
    </row>
    <row r="210" spans="1:30" ht="13.5" thickBot="1">
      <c r="A210" s="1211"/>
      <c r="B210" s="1028" t="s">
        <v>1178</v>
      </c>
      <c r="C210" s="223">
        <f t="shared" si="21"/>
        <v>0</v>
      </c>
      <c r="D210" s="223">
        <f>'Emission Factors'!C177*C210</f>
        <v>0</v>
      </c>
      <c r="E210" s="159">
        <f>'Emission Factors'!D177*C210</f>
        <v>0</v>
      </c>
      <c r="F210" s="106"/>
      <c r="G210" s="515"/>
      <c r="H210" s="230"/>
      <c r="I210" s="230"/>
      <c r="J210" s="465"/>
      <c r="K210" s="465"/>
      <c r="L210" s="230"/>
      <c r="M210" s="230"/>
      <c r="N210" s="230"/>
      <c r="O210" s="230"/>
      <c r="P210" s="230"/>
      <c r="Q210" s="230"/>
      <c r="R210" s="230"/>
      <c r="S210" s="230"/>
      <c r="T210" s="230"/>
      <c r="U210" s="230"/>
      <c r="V210" s="230"/>
      <c r="W210" s="230"/>
      <c r="X210" s="230"/>
      <c r="Y210" s="230"/>
      <c r="Z210" s="230"/>
      <c r="AA210" s="230"/>
      <c r="AB210" s="230"/>
      <c r="AC210" s="230"/>
      <c r="AD210" s="230"/>
    </row>
    <row r="211" spans="1:30" ht="13.5" thickBot="1">
      <c r="A211" s="1036" t="s">
        <v>1194</v>
      </c>
      <c r="B211" s="1041" t="s">
        <v>1178</v>
      </c>
      <c r="C211" s="1037">
        <f>SUMIF($C$20:$C$54,$A$211&amp;" - "&amp;B211,$E$20:$E$54)</f>
        <v>0</v>
      </c>
      <c r="D211" s="1037">
        <f>'Emission Factors'!C178*C211</f>
        <v>0</v>
      </c>
      <c r="E211" s="1040">
        <f>'Emission Factors'!D178*C211</f>
        <v>0</v>
      </c>
      <c r="F211" s="106"/>
      <c r="G211" s="515"/>
      <c r="H211" s="230"/>
      <c r="I211" s="230"/>
      <c r="J211" s="465"/>
      <c r="K211" s="465"/>
      <c r="L211" s="230"/>
      <c r="M211" s="230"/>
      <c r="N211" s="230"/>
      <c r="O211" s="230"/>
      <c r="P211" s="230"/>
      <c r="Q211" s="230"/>
      <c r="R211" s="230"/>
      <c r="S211" s="230"/>
      <c r="T211" s="230"/>
      <c r="U211" s="230"/>
      <c r="V211" s="230"/>
      <c r="W211" s="230"/>
      <c r="X211" s="230"/>
      <c r="Y211" s="230"/>
      <c r="Z211" s="230"/>
      <c r="AA211" s="230"/>
      <c r="AB211" s="230"/>
      <c r="AC211" s="230"/>
      <c r="AD211" s="230"/>
    </row>
    <row r="212" spans="1:30">
      <c r="A212" s="1209" t="s">
        <v>1344</v>
      </c>
      <c r="B212" s="1026" t="s">
        <v>1197</v>
      </c>
      <c r="C212" s="1038">
        <f>SUMIF($C$20:$C$54,$A$212&amp;" - "&amp;B212,$E$20:$E$54)</f>
        <v>0</v>
      </c>
      <c r="D212" s="1038">
        <f>'Emission Factors'!C179*C212</f>
        <v>0</v>
      </c>
      <c r="E212" s="1039">
        <f>'Emission Factors'!D179*C212</f>
        <v>0</v>
      </c>
      <c r="F212" s="191"/>
      <c r="G212" s="230"/>
      <c r="H212" s="257"/>
      <c r="I212" s="230"/>
      <c r="J212" s="465"/>
      <c r="K212" s="465"/>
      <c r="L212" s="230"/>
      <c r="M212" s="230"/>
      <c r="N212" s="230"/>
      <c r="O212" s="230"/>
      <c r="P212" s="230"/>
      <c r="Q212" s="230"/>
      <c r="R212" s="230"/>
      <c r="S212" s="230"/>
      <c r="T212" s="230"/>
      <c r="U212" s="230"/>
      <c r="V212" s="230"/>
      <c r="W212" s="230"/>
      <c r="X212" s="230"/>
      <c r="Y212" s="230"/>
      <c r="Z212" s="230"/>
      <c r="AA212" s="230"/>
      <c r="AB212" s="230"/>
      <c r="AC212" s="230"/>
      <c r="AD212" s="230"/>
    </row>
    <row r="213" spans="1:30">
      <c r="A213" s="1210"/>
      <c r="B213" s="1024" t="s">
        <v>1178</v>
      </c>
      <c r="C213" s="220">
        <f t="shared" ref="C213:C214" si="22">SUMIF($C$20:$C$54,$A$212&amp;" - "&amp;B213,$E$20:$E$54)</f>
        <v>0</v>
      </c>
      <c r="D213" s="220">
        <f>'Emission Factors'!C180*C213</f>
        <v>0</v>
      </c>
      <c r="E213" s="143">
        <f>'Emission Factors'!D180*C213</f>
        <v>0</v>
      </c>
      <c r="F213" s="191"/>
      <c r="G213" s="230"/>
      <c r="H213" s="257"/>
      <c r="I213" s="230"/>
      <c r="J213" s="465"/>
      <c r="K213" s="465"/>
      <c r="L213" s="230"/>
      <c r="M213" s="230"/>
      <c r="N213" s="230"/>
      <c r="O213" s="230"/>
      <c r="P213" s="230"/>
      <c r="Q213" s="230"/>
      <c r="R213" s="230"/>
      <c r="S213" s="230"/>
      <c r="T213" s="230"/>
      <c r="U213" s="230"/>
      <c r="V213" s="230"/>
      <c r="W213" s="230"/>
      <c r="X213" s="230"/>
      <c r="Y213" s="230"/>
      <c r="Z213" s="230"/>
      <c r="AA213" s="230"/>
      <c r="AB213" s="230"/>
      <c r="AC213" s="230"/>
      <c r="AD213" s="230"/>
    </row>
    <row r="214" spans="1:30" ht="13.5" thickBot="1">
      <c r="A214" s="1211"/>
      <c r="B214" s="1028" t="s">
        <v>1186</v>
      </c>
      <c r="C214" s="223">
        <f t="shared" si="22"/>
        <v>0</v>
      </c>
      <c r="D214" s="223">
        <f>'Emission Factors'!C181*C214</f>
        <v>0</v>
      </c>
      <c r="E214" s="159">
        <f>'Emission Factors'!D181*C214</f>
        <v>0</v>
      </c>
      <c r="F214" s="191"/>
      <c r="G214" s="230"/>
      <c r="H214" s="257"/>
      <c r="I214" s="230"/>
      <c r="J214" s="465"/>
      <c r="K214" s="465"/>
      <c r="L214" s="230"/>
      <c r="M214" s="230"/>
      <c r="N214" s="230"/>
      <c r="O214" s="230"/>
      <c r="P214" s="230"/>
      <c r="Q214" s="230"/>
      <c r="R214" s="230"/>
      <c r="S214" s="230"/>
      <c r="T214" s="230"/>
      <c r="U214" s="230"/>
      <c r="V214" s="230"/>
      <c r="W214" s="230"/>
      <c r="X214" s="230"/>
      <c r="Y214" s="230"/>
      <c r="Z214" s="230"/>
      <c r="AA214" s="230"/>
      <c r="AB214" s="230"/>
      <c r="AC214" s="230"/>
      <c r="AD214" s="230"/>
    </row>
    <row r="215" spans="1:30">
      <c r="A215" s="95"/>
      <c r="B215" s="95"/>
      <c r="C215" s="95"/>
      <c r="D215" s="96"/>
      <c r="E215" s="191"/>
      <c r="F215" s="191"/>
      <c r="G215" s="230"/>
      <c r="H215" s="257"/>
      <c r="I215" s="230"/>
      <c r="J215" s="465"/>
      <c r="K215" s="465"/>
      <c r="L215" s="230"/>
      <c r="M215" s="230"/>
      <c r="N215" s="230"/>
      <c r="O215" s="230"/>
      <c r="P215" s="230"/>
      <c r="Q215" s="230"/>
      <c r="R215" s="230"/>
      <c r="S215" s="230"/>
      <c r="T215" s="230"/>
      <c r="U215" s="230"/>
      <c r="V215" s="230"/>
      <c r="W215" s="230"/>
      <c r="X215" s="230"/>
      <c r="Y215" s="230"/>
      <c r="Z215" s="230"/>
      <c r="AA215" s="230"/>
      <c r="AB215" s="230"/>
      <c r="AC215" s="230"/>
      <c r="AD215" s="230"/>
    </row>
    <row r="216" spans="1:30" ht="13.5" thickBot="1">
      <c r="A216" s="10"/>
      <c r="B216" s="10"/>
      <c r="C216" s="10"/>
      <c r="D216" s="10"/>
      <c r="E216" s="10"/>
      <c r="F216" s="10"/>
      <c r="G216" s="230"/>
      <c r="H216" s="230"/>
      <c r="I216" s="230"/>
      <c r="J216" s="230"/>
      <c r="K216" s="230"/>
      <c r="L216" s="230"/>
      <c r="M216" s="230"/>
      <c r="N216" s="230"/>
      <c r="O216" s="230"/>
      <c r="P216" s="230"/>
      <c r="Q216" s="230"/>
      <c r="R216" s="230"/>
      <c r="S216" s="230"/>
      <c r="T216" s="230"/>
      <c r="U216" s="230"/>
      <c r="V216" s="230"/>
      <c r="W216" s="230"/>
      <c r="X216" s="230"/>
      <c r="Y216" s="230"/>
      <c r="Z216" s="230"/>
      <c r="AA216" s="230"/>
      <c r="AB216" s="230"/>
      <c r="AC216" s="230"/>
      <c r="AD216" s="230"/>
    </row>
    <row r="217" spans="1:30">
      <c r="A217" s="30"/>
      <c r="B217" s="62"/>
      <c r="C217" s="62"/>
      <c r="D217" s="31"/>
      <c r="E217" s="51"/>
      <c r="F217" s="10"/>
      <c r="G217" s="230"/>
      <c r="H217" s="230"/>
      <c r="I217" s="230"/>
      <c r="J217" s="230"/>
      <c r="K217" s="230"/>
      <c r="L217" s="230"/>
      <c r="M217" s="230"/>
      <c r="N217" s="230"/>
      <c r="O217" s="230"/>
      <c r="P217" s="230"/>
      <c r="Q217" s="230"/>
      <c r="R217" s="230"/>
      <c r="S217" s="230"/>
      <c r="T217" s="230"/>
      <c r="U217" s="230"/>
      <c r="V217" s="230"/>
      <c r="W217" s="230"/>
      <c r="X217" s="230"/>
      <c r="Y217" s="230"/>
      <c r="Z217" s="230"/>
      <c r="AA217" s="230"/>
      <c r="AB217" s="230"/>
      <c r="AC217" s="230"/>
      <c r="AD217" s="230"/>
    </row>
    <row r="218" spans="1:30" ht="15" thickBot="1">
      <c r="A218" s="33" t="s">
        <v>558</v>
      </c>
      <c r="B218" s="63"/>
      <c r="C218" s="63"/>
      <c r="D218" s="34"/>
      <c r="E218" s="224">
        <f>((SUM($F$70:$F$79))+(SUM($E$83:$E$163)+SUM($E$167:$E$202)+SUM($D$206:$D$214))*CH4_GWP/1000+(SUM($F$83:$F$163)+SUM($F$167:$F$202)+SUM($E$206:$E$214))*N2O_GWP/1000)/1000</f>
        <v>0</v>
      </c>
      <c r="F218" s="277"/>
      <c r="G218" s="230"/>
      <c r="H218" s="230"/>
      <c r="I218" s="230"/>
      <c r="J218" s="230"/>
      <c r="K218" s="230"/>
      <c r="L218" s="230"/>
      <c r="M218" s="230"/>
      <c r="N218" s="230"/>
      <c r="O218" s="230"/>
      <c r="P218" s="230"/>
      <c r="Q218" s="230"/>
      <c r="R218" s="230"/>
      <c r="S218" s="230"/>
      <c r="T218" s="230"/>
      <c r="U218" s="230"/>
      <c r="V218" s="230"/>
      <c r="W218" s="230"/>
      <c r="X218" s="230"/>
      <c r="Y218" s="230"/>
      <c r="Z218" s="230"/>
      <c r="AA218" s="230"/>
      <c r="AB218" s="230"/>
      <c r="AC218" s="230"/>
      <c r="AD218" s="230"/>
    </row>
    <row r="219" spans="1:30">
      <c r="A219" s="52"/>
      <c r="B219" s="60"/>
      <c r="C219" s="60"/>
      <c r="D219" s="53"/>
      <c r="E219" s="225"/>
      <c r="F219" s="277"/>
      <c r="G219" s="230"/>
      <c r="H219" s="230"/>
      <c r="I219" s="230"/>
      <c r="J219" s="230"/>
      <c r="K219" s="230"/>
      <c r="L219" s="230"/>
      <c r="M219" s="230"/>
      <c r="N219" s="230"/>
      <c r="O219" s="230"/>
      <c r="P219" s="230"/>
      <c r="Q219" s="230"/>
      <c r="R219" s="230"/>
      <c r="S219" s="230"/>
      <c r="T219" s="230"/>
      <c r="U219" s="230"/>
      <c r="V219" s="230"/>
      <c r="W219" s="230"/>
      <c r="X219" s="230"/>
      <c r="Y219" s="230"/>
      <c r="Z219" s="230"/>
      <c r="AA219" s="230"/>
      <c r="AB219" s="230"/>
      <c r="AC219" s="230"/>
      <c r="AD219" s="230"/>
    </row>
    <row r="220" spans="1:30" ht="15" thickBot="1">
      <c r="A220" s="54" t="s">
        <v>559</v>
      </c>
      <c r="B220" s="61"/>
      <c r="C220" s="61"/>
      <c r="D220" s="55"/>
      <c r="E220" s="226">
        <f>((Mobile_Ethanol_CO2fctr*$D$13/100*$D$76)+(Mobile_Biodiesel_CO2fctr*$D$12/100*$D$77))/1000</f>
        <v>0</v>
      </c>
      <c r="F220" s="277"/>
      <c r="G220" s="230"/>
      <c r="H220" s="230"/>
      <c r="I220" s="230"/>
      <c r="J220" s="230"/>
      <c r="K220" s="230"/>
      <c r="L220" s="230"/>
      <c r="M220" s="230"/>
      <c r="N220" s="230"/>
      <c r="O220" s="230"/>
      <c r="P220" s="230"/>
      <c r="Q220" s="230"/>
      <c r="R220" s="230"/>
      <c r="S220" s="230"/>
      <c r="T220" s="230"/>
      <c r="U220" s="230"/>
      <c r="V220" s="230"/>
      <c r="W220" s="230"/>
      <c r="X220" s="230"/>
      <c r="Y220" s="230"/>
      <c r="Z220" s="230"/>
      <c r="AA220" s="230"/>
      <c r="AB220" s="230"/>
      <c r="AC220" s="230"/>
      <c r="AD220" s="230"/>
    </row>
    <row r="221" spans="1:30">
      <c r="A221" s="10"/>
      <c r="B221" s="10"/>
      <c r="C221" s="10"/>
      <c r="D221" s="10"/>
      <c r="E221" s="10"/>
      <c r="F221" s="10"/>
      <c r="G221" s="230"/>
      <c r="H221" s="230"/>
      <c r="I221" s="230"/>
      <c r="J221" s="230"/>
      <c r="K221" s="230"/>
      <c r="L221" s="230"/>
      <c r="M221" s="230"/>
      <c r="N221" s="230"/>
      <c r="O221" s="230"/>
      <c r="P221" s="230"/>
      <c r="Q221" s="230"/>
      <c r="R221" s="230"/>
      <c r="S221" s="230"/>
      <c r="T221" s="230"/>
      <c r="U221" s="230"/>
      <c r="V221" s="230"/>
      <c r="W221" s="230"/>
      <c r="X221" s="230"/>
      <c r="Y221" s="230"/>
      <c r="Z221" s="230"/>
      <c r="AA221" s="230"/>
      <c r="AB221" s="230"/>
      <c r="AC221" s="230"/>
      <c r="AD221" s="230"/>
    </row>
    <row r="222" spans="1:30">
      <c r="A222" s="103" t="s">
        <v>138</v>
      </c>
      <c r="B222" s="10"/>
      <c r="C222" s="10"/>
      <c r="D222" s="10"/>
      <c r="E222" s="10"/>
      <c r="F222" s="10"/>
      <c r="G222" s="230"/>
      <c r="H222" s="230"/>
      <c r="I222" s="230"/>
      <c r="J222" s="230"/>
      <c r="K222" s="230"/>
      <c r="L222" s="230"/>
      <c r="M222" s="230"/>
      <c r="N222" s="230"/>
      <c r="O222" s="230"/>
      <c r="P222" s="230"/>
      <c r="Q222" s="230"/>
      <c r="R222" s="230"/>
      <c r="S222" s="230"/>
      <c r="T222" s="230"/>
      <c r="U222" s="230"/>
      <c r="V222" s="230"/>
      <c r="W222" s="230"/>
      <c r="X222" s="230"/>
      <c r="Y222" s="230"/>
      <c r="Z222" s="230"/>
      <c r="AA222" s="230"/>
      <c r="AB222" s="230"/>
      <c r="AC222" s="230"/>
      <c r="AD222" s="230"/>
    </row>
    <row r="223" spans="1:30">
      <c r="A223" s="103" t="s">
        <v>1295</v>
      </c>
      <c r="B223" s="10"/>
      <c r="C223" s="10"/>
      <c r="D223" s="10"/>
      <c r="E223" s="10"/>
      <c r="F223" s="10"/>
      <c r="G223" s="230"/>
      <c r="H223" s="230"/>
      <c r="I223" s="230"/>
      <c r="J223" s="230"/>
      <c r="K223" s="230"/>
      <c r="L223" s="230"/>
      <c r="M223" s="230"/>
      <c r="N223" s="230"/>
      <c r="O223" s="230"/>
      <c r="P223" s="230"/>
      <c r="Q223" s="230"/>
      <c r="R223" s="230"/>
      <c r="S223" s="230"/>
      <c r="T223" s="230"/>
      <c r="U223" s="230"/>
      <c r="V223" s="230"/>
      <c r="W223" s="230"/>
      <c r="X223" s="230"/>
      <c r="Y223" s="230"/>
      <c r="Z223" s="230"/>
      <c r="AA223" s="230"/>
      <c r="AB223" s="230"/>
      <c r="AC223" s="230"/>
      <c r="AD223" s="230"/>
    </row>
    <row r="224" spans="1:30">
      <c r="A224" s="103"/>
      <c r="B224" s="10"/>
      <c r="C224" s="10"/>
      <c r="D224" s="10"/>
      <c r="E224" s="10"/>
      <c r="F224" s="10"/>
      <c r="G224" s="230"/>
      <c r="H224" s="230"/>
      <c r="I224" s="230"/>
      <c r="J224" s="230"/>
      <c r="K224" s="230"/>
      <c r="L224" s="230"/>
      <c r="M224" s="230"/>
      <c r="N224" s="230"/>
      <c r="O224" s="230"/>
      <c r="P224" s="230"/>
      <c r="Q224" s="230"/>
      <c r="R224" s="230"/>
      <c r="S224" s="230"/>
      <c r="T224" s="230"/>
      <c r="U224" s="230"/>
      <c r="V224" s="230"/>
      <c r="W224" s="230"/>
      <c r="X224" s="230"/>
      <c r="Y224" s="230"/>
      <c r="Z224" s="230"/>
      <c r="AA224" s="230"/>
      <c r="AB224" s="230"/>
      <c r="AC224" s="230"/>
      <c r="AD224" s="230"/>
    </row>
    <row r="225" spans="1:30">
      <c r="A225" s="10"/>
      <c r="B225" s="10"/>
      <c r="C225" s="10"/>
      <c r="D225" s="10"/>
      <c r="E225" s="10"/>
      <c r="F225" s="1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row>
    <row r="226" spans="1:30">
      <c r="A226" s="10"/>
      <c r="B226" s="10"/>
      <c r="C226" s="10"/>
      <c r="D226" s="10"/>
      <c r="E226" s="10"/>
      <c r="F226" s="10"/>
      <c r="G226" s="230"/>
      <c r="H226" s="230"/>
      <c r="I226" s="230"/>
      <c r="J226" s="230"/>
      <c r="K226" s="230"/>
      <c r="L226" s="230"/>
      <c r="M226" s="230"/>
      <c r="N226" s="230"/>
      <c r="O226" s="230"/>
      <c r="P226" s="230"/>
      <c r="Q226" s="230"/>
      <c r="R226" s="230"/>
      <c r="S226" s="230"/>
      <c r="T226" s="230"/>
      <c r="U226" s="230"/>
      <c r="V226" s="230"/>
      <c r="W226" s="230"/>
      <c r="X226" s="230"/>
      <c r="Y226" s="230"/>
      <c r="Z226" s="230"/>
      <c r="AA226" s="230"/>
      <c r="AB226" s="230"/>
      <c r="AC226" s="230"/>
      <c r="AD226" s="230"/>
    </row>
    <row r="227" spans="1:30">
      <c r="A227" s="78"/>
      <c r="B227" s="78"/>
      <c r="C227" s="78"/>
      <c r="D227" s="78"/>
      <c r="E227" s="78"/>
      <c r="F227" s="10"/>
      <c r="G227" s="78"/>
      <c r="H227" s="324"/>
      <c r="I227" s="324"/>
      <c r="J227" s="230"/>
      <c r="K227" s="230"/>
      <c r="L227" s="230"/>
      <c r="M227" s="230"/>
      <c r="N227" s="230"/>
      <c r="O227" s="230"/>
      <c r="P227" s="230"/>
      <c r="Q227" s="230"/>
      <c r="R227" s="230"/>
      <c r="S227" s="230"/>
      <c r="T227" s="230"/>
      <c r="U227" s="230"/>
      <c r="V227" s="230"/>
      <c r="W227" s="230"/>
      <c r="X227" s="230"/>
      <c r="Y227" s="230"/>
      <c r="Z227" s="230"/>
      <c r="AA227" s="230"/>
      <c r="AB227" s="230"/>
      <c r="AC227" s="230"/>
      <c r="AD227" s="230"/>
    </row>
    <row r="228" spans="1:30">
      <c r="A228" s="10"/>
      <c r="B228" s="10"/>
      <c r="C228" s="10"/>
      <c r="D228" s="10"/>
      <c r="E228" s="10"/>
      <c r="F228" s="10"/>
      <c r="G228" s="10"/>
      <c r="H228" s="230"/>
      <c r="I228" s="230"/>
      <c r="J228" s="230"/>
      <c r="K228" s="230"/>
      <c r="L228" s="230"/>
      <c r="M228" s="230"/>
      <c r="N228" s="230"/>
      <c r="O228" s="230"/>
      <c r="P228" s="230"/>
      <c r="Q228" s="230"/>
      <c r="R228" s="230"/>
      <c r="S228" s="230"/>
      <c r="T228" s="230"/>
      <c r="U228" s="230"/>
      <c r="V228" s="230"/>
      <c r="W228" s="230"/>
      <c r="X228" s="230"/>
      <c r="Y228" s="230"/>
      <c r="Z228" s="230"/>
      <c r="AA228" s="230"/>
      <c r="AB228" s="230"/>
      <c r="AC228" s="230"/>
      <c r="AD228" s="230"/>
    </row>
    <row r="229" spans="1:30">
      <c r="A229" s="10"/>
      <c r="B229" s="10"/>
      <c r="C229" s="10"/>
      <c r="D229" s="10"/>
      <c r="E229" s="10"/>
      <c r="F229" s="10"/>
      <c r="G229" s="10"/>
      <c r="H229" s="230"/>
      <c r="I229" s="230"/>
      <c r="J229" s="230"/>
      <c r="K229" s="230"/>
      <c r="L229" s="230"/>
      <c r="M229" s="230"/>
      <c r="N229" s="230"/>
      <c r="O229" s="230"/>
      <c r="P229" s="230"/>
      <c r="Q229" s="230"/>
      <c r="R229" s="230"/>
      <c r="S229" s="230"/>
      <c r="T229" s="230"/>
      <c r="U229" s="230"/>
      <c r="V229" s="230"/>
      <c r="W229" s="230"/>
      <c r="X229" s="230"/>
      <c r="Y229" s="230"/>
      <c r="Z229" s="230"/>
      <c r="AA229" s="230"/>
      <c r="AB229" s="230"/>
      <c r="AC229" s="230"/>
      <c r="AD229" s="230"/>
    </row>
    <row r="230" spans="1:30">
      <c r="A230" s="10"/>
      <c r="B230" s="10"/>
      <c r="C230" s="10"/>
      <c r="D230" s="10"/>
      <c r="E230" s="10"/>
      <c r="F230" s="10"/>
      <c r="G230" s="10"/>
      <c r="H230" s="230"/>
      <c r="I230" s="230"/>
      <c r="J230" s="230"/>
      <c r="K230" s="230"/>
      <c r="L230" s="230"/>
      <c r="M230" s="230"/>
      <c r="N230" s="230"/>
      <c r="O230" s="230"/>
      <c r="P230" s="230"/>
      <c r="Q230" s="230"/>
      <c r="R230" s="230"/>
      <c r="S230" s="230"/>
      <c r="T230" s="230"/>
      <c r="U230" s="230"/>
      <c r="V230" s="230"/>
      <c r="W230" s="230"/>
      <c r="X230" s="230"/>
      <c r="Y230" s="230"/>
      <c r="Z230" s="230"/>
      <c r="AA230" s="230"/>
      <c r="AB230" s="230"/>
      <c r="AC230" s="230"/>
      <c r="AD230" s="230"/>
    </row>
    <row r="231" spans="1:30">
      <c r="A231" s="10"/>
      <c r="B231" s="10"/>
      <c r="C231" s="10"/>
      <c r="D231" s="10"/>
      <c r="E231" s="10"/>
      <c r="F231" s="10"/>
      <c r="G231" s="10"/>
      <c r="H231" s="230"/>
      <c r="I231" s="230"/>
      <c r="J231" s="230"/>
      <c r="K231" s="230"/>
      <c r="L231" s="230"/>
      <c r="M231" s="230"/>
      <c r="N231" s="230"/>
      <c r="O231" s="230"/>
      <c r="P231" s="230"/>
      <c r="Q231" s="230"/>
      <c r="R231" s="230"/>
      <c r="S231" s="230"/>
      <c r="T231" s="230"/>
      <c r="U231" s="230"/>
      <c r="V231" s="230"/>
      <c r="W231" s="230"/>
      <c r="X231" s="230"/>
      <c r="Y231" s="230"/>
      <c r="Z231" s="230"/>
      <c r="AA231" s="230"/>
      <c r="AB231" s="230"/>
      <c r="AC231" s="230"/>
      <c r="AD231" s="230"/>
    </row>
    <row r="232" spans="1:30">
      <c r="A232" s="10"/>
      <c r="B232" s="10"/>
      <c r="C232" s="10"/>
      <c r="D232" s="10"/>
      <c r="E232" s="10"/>
      <c r="F232" s="10"/>
      <c r="G232" s="10"/>
      <c r="H232" s="230"/>
      <c r="I232" s="230"/>
      <c r="J232" s="230"/>
      <c r="K232" s="230"/>
      <c r="L232" s="230"/>
      <c r="M232" s="230"/>
      <c r="N232" s="230"/>
      <c r="O232" s="230"/>
      <c r="P232" s="230"/>
      <c r="Q232" s="230"/>
      <c r="R232" s="230"/>
      <c r="S232" s="230"/>
      <c r="T232" s="230"/>
      <c r="U232" s="230"/>
      <c r="V232" s="230"/>
      <c r="W232" s="230"/>
      <c r="X232" s="230"/>
      <c r="Y232" s="230"/>
      <c r="Z232" s="230"/>
      <c r="AA232" s="230"/>
      <c r="AB232" s="230"/>
      <c r="AC232" s="230"/>
      <c r="AD232" s="230"/>
    </row>
    <row r="233" spans="1:30">
      <c r="A233" s="10"/>
      <c r="B233" s="10"/>
      <c r="C233" s="10"/>
      <c r="D233" s="10"/>
      <c r="E233" s="10"/>
      <c r="F233" s="10"/>
      <c r="G233" s="10"/>
      <c r="H233" s="230"/>
      <c r="I233" s="230"/>
      <c r="J233" s="230"/>
      <c r="K233" s="230"/>
      <c r="L233" s="230"/>
      <c r="M233" s="230"/>
      <c r="N233" s="230"/>
      <c r="O233" s="230"/>
      <c r="P233" s="230"/>
      <c r="Q233" s="230"/>
      <c r="R233" s="230"/>
      <c r="S233" s="230"/>
      <c r="T233" s="230"/>
      <c r="U233" s="230"/>
      <c r="V233" s="230"/>
      <c r="W233" s="230"/>
      <c r="X233" s="230"/>
      <c r="Y233" s="230"/>
      <c r="Z233" s="230"/>
      <c r="AA233" s="230"/>
      <c r="AB233" s="230"/>
      <c r="AC233" s="230"/>
      <c r="AD233" s="230"/>
    </row>
    <row r="234" spans="1:30">
      <c r="A234" s="10"/>
      <c r="B234" s="10"/>
      <c r="C234" s="10"/>
      <c r="D234" s="10"/>
      <c r="E234" s="10"/>
      <c r="F234" s="10"/>
      <c r="G234" s="10"/>
      <c r="H234" s="230"/>
      <c r="I234" s="230"/>
      <c r="J234" s="230"/>
      <c r="K234" s="230"/>
      <c r="L234" s="230"/>
      <c r="M234" s="230"/>
      <c r="N234" s="230"/>
      <c r="O234" s="230"/>
      <c r="P234" s="230"/>
      <c r="Q234" s="230"/>
      <c r="R234" s="230"/>
      <c r="S234" s="230"/>
      <c r="T234" s="230"/>
      <c r="U234" s="230"/>
      <c r="V234" s="230"/>
      <c r="W234" s="230"/>
      <c r="X234" s="230"/>
      <c r="Y234" s="230"/>
      <c r="Z234" s="230"/>
      <c r="AA234" s="230"/>
      <c r="AB234" s="230"/>
      <c r="AC234" s="230"/>
      <c r="AD234" s="230"/>
    </row>
    <row r="235" spans="1:30">
      <c r="A235" s="10"/>
      <c r="B235" s="10"/>
      <c r="C235" s="10"/>
      <c r="D235" s="10"/>
      <c r="E235" s="10"/>
      <c r="F235" s="10"/>
      <c r="G235" s="10"/>
      <c r="H235" s="230"/>
      <c r="I235" s="230"/>
      <c r="J235" s="230"/>
      <c r="K235" s="230"/>
      <c r="L235" s="230"/>
      <c r="M235" s="230"/>
      <c r="N235" s="230"/>
      <c r="O235" s="230"/>
      <c r="P235" s="230"/>
      <c r="Q235" s="230"/>
      <c r="R235" s="230"/>
      <c r="S235" s="230"/>
      <c r="T235" s="230"/>
      <c r="U235" s="230"/>
      <c r="V235" s="230"/>
      <c r="W235" s="230"/>
      <c r="X235" s="230"/>
      <c r="Y235" s="230"/>
      <c r="Z235" s="230"/>
      <c r="AA235" s="230"/>
      <c r="AB235" s="230"/>
      <c r="AC235" s="230"/>
      <c r="AD235" s="230"/>
    </row>
    <row r="236" spans="1:30">
      <c r="A236" s="10"/>
      <c r="B236" s="10"/>
      <c r="C236" s="10"/>
      <c r="D236" s="10"/>
      <c r="E236" s="10"/>
      <c r="F236" s="10"/>
      <c r="G236" s="10"/>
      <c r="H236" s="230"/>
      <c r="I236" s="230"/>
      <c r="J236" s="230"/>
      <c r="K236" s="230"/>
      <c r="L236" s="230"/>
      <c r="M236" s="230"/>
      <c r="N236" s="230"/>
      <c r="O236" s="230"/>
      <c r="P236" s="230"/>
      <c r="Q236" s="230"/>
      <c r="R236" s="230"/>
      <c r="S236" s="230"/>
      <c r="T236" s="230"/>
      <c r="U236" s="230"/>
      <c r="V236" s="230"/>
      <c r="W236" s="230"/>
      <c r="X236" s="230"/>
      <c r="Y236" s="230"/>
      <c r="Z236" s="230"/>
      <c r="AA236" s="230"/>
      <c r="AB236" s="230"/>
      <c r="AC236" s="230"/>
      <c r="AD236" s="230"/>
    </row>
    <row r="237" spans="1:30">
      <c r="A237" s="10"/>
      <c r="B237" s="10"/>
      <c r="C237" s="10"/>
      <c r="D237" s="10"/>
      <c r="E237" s="10"/>
      <c r="F237" s="10"/>
      <c r="G237" s="10"/>
      <c r="H237" s="230"/>
      <c r="I237" s="230"/>
      <c r="J237" s="230"/>
      <c r="K237" s="230"/>
      <c r="L237" s="230"/>
      <c r="M237" s="230"/>
      <c r="N237" s="230"/>
      <c r="O237" s="230"/>
      <c r="P237" s="230"/>
      <c r="Q237" s="230"/>
      <c r="R237" s="230"/>
      <c r="S237" s="230"/>
      <c r="T237" s="230"/>
      <c r="U237" s="230"/>
      <c r="V237" s="230"/>
      <c r="W237" s="230"/>
      <c r="X237" s="230"/>
      <c r="Y237" s="230"/>
      <c r="Z237" s="230"/>
      <c r="AA237" s="230"/>
      <c r="AB237" s="230"/>
      <c r="AC237" s="230"/>
      <c r="AD237" s="230"/>
    </row>
    <row r="238" spans="1:30">
      <c r="A238" s="10"/>
      <c r="B238" s="10"/>
      <c r="C238" s="10"/>
      <c r="D238" s="10"/>
      <c r="E238" s="10"/>
      <c r="F238" s="10"/>
      <c r="G238" s="10"/>
      <c r="H238" s="230"/>
      <c r="I238" s="230"/>
      <c r="J238" s="230"/>
      <c r="K238" s="230"/>
      <c r="L238" s="230"/>
      <c r="M238" s="230"/>
      <c r="N238" s="230"/>
      <c r="O238" s="230"/>
      <c r="P238" s="230"/>
      <c r="Q238" s="230"/>
      <c r="R238" s="230"/>
      <c r="S238" s="230"/>
      <c r="T238" s="230"/>
      <c r="U238" s="230"/>
      <c r="V238" s="230"/>
      <c r="W238" s="230"/>
      <c r="X238" s="230"/>
      <c r="Y238" s="230"/>
      <c r="Z238" s="230"/>
      <c r="AA238" s="230"/>
      <c r="AB238" s="230"/>
      <c r="AC238" s="230"/>
      <c r="AD238" s="230"/>
    </row>
    <row r="239" spans="1:30">
      <c r="A239" s="10"/>
      <c r="B239" s="10"/>
      <c r="C239" s="10"/>
      <c r="D239" s="10"/>
      <c r="E239" s="10"/>
      <c r="F239" s="10"/>
      <c r="G239" s="10"/>
      <c r="H239" s="230"/>
      <c r="I239" s="230"/>
      <c r="J239" s="230"/>
      <c r="K239" s="230"/>
      <c r="L239" s="230"/>
      <c r="M239" s="230"/>
      <c r="N239" s="230"/>
      <c r="O239" s="230"/>
      <c r="P239" s="230"/>
      <c r="Q239" s="230"/>
      <c r="R239" s="230"/>
      <c r="S239" s="230"/>
      <c r="T239" s="230"/>
      <c r="U239" s="230"/>
      <c r="V239" s="230"/>
      <c r="W239" s="230"/>
      <c r="X239" s="230"/>
      <c r="Y239" s="230"/>
      <c r="Z239" s="230"/>
      <c r="AA239" s="230"/>
      <c r="AB239" s="230"/>
      <c r="AC239" s="230"/>
      <c r="AD239" s="230"/>
    </row>
    <row r="240" spans="1:30">
      <c r="A240" s="10"/>
      <c r="B240" s="10"/>
      <c r="C240" s="10"/>
      <c r="D240" s="10"/>
      <c r="E240" s="10"/>
      <c r="F240" s="10"/>
      <c r="G240" s="10"/>
      <c r="H240" s="230"/>
      <c r="I240" s="230"/>
      <c r="J240" s="230"/>
      <c r="K240" s="230"/>
      <c r="L240" s="230"/>
      <c r="M240" s="230"/>
      <c r="N240" s="230"/>
      <c r="O240" s="230"/>
      <c r="P240" s="230"/>
      <c r="Q240" s="230"/>
      <c r="R240" s="230"/>
      <c r="S240" s="230"/>
      <c r="T240" s="230"/>
      <c r="U240" s="230"/>
      <c r="V240" s="230"/>
      <c r="W240" s="230"/>
      <c r="X240" s="230"/>
      <c r="Y240" s="230"/>
      <c r="Z240" s="230"/>
      <c r="AA240" s="230"/>
      <c r="AB240" s="230"/>
      <c r="AC240" s="230"/>
      <c r="AD240" s="230"/>
    </row>
    <row r="241" spans="1:30">
      <c r="A241" s="10"/>
      <c r="B241" s="10"/>
      <c r="C241" s="10"/>
      <c r="D241" s="10"/>
      <c r="E241" s="10"/>
      <c r="F241" s="10"/>
      <c r="G241" s="10"/>
      <c r="H241" s="230"/>
      <c r="I241" s="230"/>
      <c r="J241" s="230"/>
      <c r="K241" s="230"/>
      <c r="L241" s="230"/>
      <c r="M241" s="230"/>
      <c r="N241" s="230"/>
      <c r="O241" s="230"/>
      <c r="P241" s="230"/>
      <c r="Q241" s="230"/>
      <c r="R241" s="230"/>
      <c r="S241" s="230"/>
      <c r="T241" s="230"/>
      <c r="U241" s="230"/>
      <c r="V241" s="230"/>
      <c r="W241" s="230"/>
      <c r="X241" s="230"/>
      <c r="Y241" s="230"/>
      <c r="Z241" s="230"/>
      <c r="AA241" s="230"/>
      <c r="AB241" s="230"/>
      <c r="AC241" s="230"/>
      <c r="AD241" s="230"/>
    </row>
    <row r="242" spans="1:30">
      <c r="A242" s="10"/>
      <c r="B242" s="10"/>
      <c r="C242" s="10"/>
      <c r="D242" s="10"/>
      <c r="E242" s="10"/>
      <c r="F242" s="10"/>
      <c r="G242" s="1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row>
    <row r="243" spans="1:30">
      <c r="A243" s="10"/>
      <c r="B243" s="10"/>
      <c r="C243" s="10"/>
      <c r="D243" s="10"/>
      <c r="E243" s="10"/>
      <c r="F243" s="10"/>
      <c r="G243" s="10"/>
      <c r="H243" s="230"/>
      <c r="I243" s="230"/>
      <c r="J243" s="230"/>
      <c r="K243" s="230"/>
      <c r="L243" s="230"/>
      <c r="M243" s="230"/>
      <c r="N243" s="230"/>
      <c r="O243" s="230"/>
      <c r="P243" s="230"/>
      <c r="Q243" s="230"/>
      <c r="R243" s="230"/>
      <c r="S243" s="230"/>
      <c r="T243" s="230"/>
      <c r="U243" s="230"/>
      <c r="V243" s="230"/>
      <c r="W243" s="230"/>
      <c r="X243" s="230"/>
      <c r="Y243" s="230"/>
      <c r="Z243" s="230"/>
      <c r="AA243" s="230"/>
      <c r="AB243" s="230"/>
      <c r="AC243" s="230"/>
      <c r="AD243" s="230"/>
    </row>
    <row r="244" spans="1:30">
      <c r="A244" s="10"/>
      <c r="B244" s="10"/>
      <c r="C244" s="10"/>
      <c r="D244" s="10"/>
      <c r="E244" s="10"/>
      <c r="F244" s="10"/>
      <c r="G244" s="10"/>
      <c r="H244" s="230"/>
      <c r="I244" s="230"/>
      <c r="J244" s="230"/>
      <c r="K244" s="230"/>
      <c r="L244" s="230"/>
      <c r="M244" s="230"/>
      <c r="N244" s="230"/>
      <c r="O244" s="230"/>
      <c r="P244" s="230"/>
      <c r="Q244" s="230"/>
      <c r="R244" s="230"/>
      <c r="S244" s="230"/>
      <c r="T244" s="230"/>
      <c r="U244" s="230"/>
      <c r="V244" s="230"/>
      <c r="W244" s="230"/>
      <c r="X244" s="230"/>
      <c r="Y244" s="230"/>
      <c r="Z244" s="230"/>
      <c r="AA244" s="230"/>
      <c r="AB244" s="230"/>
      <c r="AC244" s="230"/>
      <c r="AD244" s="230"/>
    </row>
    <row r="245" spans="1:30">
      <c r="A245" s="10"/>
      <c r="B245" s="10"/>
      <c r="C245" s="10"/>
      <c r="D245" s="10"/>
      <c r="E245" s="10"/>
      <c r="F245" s="10"/>
      <c r="G245" s="10"/>
      <c r="H245" s="230"/>
      <c r="I245" s="230"/>
      <c r="J245" s="230"/>
      <c r="K245" s="230"/>
      <c r="L245" s="230"/>
      <c r="M245" s="230"/>
      <c r="N245" s="230"/>
      <c r="O245" s="230"/>
      <c r="P245" s="230"/>
      <c r="Q245" s="230"/>
      <c r="R245" s="230"/>
      <c r="S245" s="230"/>
      <c r="T245" s="230"/>
      <c r="U245" s="230"/>
      <c r="V245" s="230"/>
      <c r="W245" s="230"/>
      <c r="X245" s="230"/>
      <c r="Y245" s="230"/>
      <c r="Z245" s="230"/>
      <c r="AA245" s="230"/>
      <c r="AB245" s="230"/>
      <c r="AC245" s="230"/>
      <c r="AD245" s="230"/>
    </row>
    <row r="246" spans="1:30">
      <c r="A246" s="10"/>
      <c r="B246" s="10"/>
      <c r="C246" s="10"/>
      <c r="D246" s="10"/>
      <c r="E246" s="10"/>
      <c r="F246" s="10"/>
      <c r="G246" s="10"/>
      <c r="H246" s="230"/>
      <c r="I246" s="230"/>
      <c r="J246" s="230"/>
      <c r="K246" s="230"/>
      <c r="L246" s="230"/>
      <c r="M246" s="230"/>
      <c r="N246" s="230"/>
      <c r="O246" s="230"/>
      <c r="P246" s="230"/>
      <c r="Q246" s="230"/>
      <c r="R246" s="230"/>
      <c r="S246" s="230"/>
      <c r="T246" s="230"/>
      <c r="U246" s="230"/>
      <c r="V246" s="230"/>
      <c r="W246" s="230"/>
      <c r="X246" s="230"/>
      <c r="Y246" s="230"/>
      <c r="Z246" s="230"/>
      <c r="AA246" s="230"/>
      <c r="AB246" s="230"/>
      <c r="AC246" s="230"/>
      <c r="AD246" s="230"/>
    </row>
    <row r="247" spans="1:30">
      <c r="A247" s="10"/>
      <c r="B247" s="10"/>
      <c r="C247" s="10"/>
      <c r="D247" s="10"/>
      <c r="E247" s="10"/>
      <c r="F247" s="10"/>
      <c r="G247" s="10"/>
      <c r="H247" s="230"/>
      <c r="I247" s="230"/>
      <c r="J247" s="230"/>
      <c r="K247" s="230"/>
      <c r="L247" s="230"/>
      <c r="M247" s="230"/>
      <c r="N247" s="230"/>
      <c r="O247" s="230"/>
      <c r="P247" s="230"/>
      <c r="Q247" s="230"/>
      <c r="R247" s="230"/>
      <c r="S247" s="230"/>
      <c r="T247" s="230"/>
      <c r="U247" s="230"/>
      <c r="V247" s="230"/>
      <c r="W247" s="230"/>
      <c r="X247" s="230"/>
      <c r="Y247" s="230"/>
      <c r="Z247" s="230"/>
      <c r="AA247" s="230"/>
      <c r="AB247" s="230"/>
      <c r="AC247" s="230"/>
      <c r="AD247" s="230"/>
    </row>
    <row r="248" spans="1:30">
      <c r="A248" s="10"/>
      <c r="B248" s="10"/>
      <c r="C248" s="10"/>
      <c r="D248" s="10"/>
      <c r="E248" s="10"/>
      <c r="F248" s="10"/>
      <c r="G248" s="10"/>
      <c r="H248" s="230"/>
      <c r="I248" s="230"/>
      <c r="J248" s="230"/>
      <c r="K248" s="230"/>
      <c r="L248" s="230"/>
      <c r="M248" s="230"/>
      <c r="N248" s="230"/>
      <c r="O248" s="230"/>
      <c r="P248" s="230"/>
      <c r="Q248" s="230"/>
      <c r="R248" s="230"/>
      <c r="S248" s="230"/>
      <c r="T248" s="230"/>
      <c r="U248" s="230"/>
      <c r="V248" s="230"/>
      <c r="W248" s="230"/>
      <c r="X248" s="230"/>
      <c r="Y248" s="230"/>
      <c r="Z248" s="230"/>
      <c r="AA248" s="230"/>
      <c r="AB248" s="230"/>
      <c r="AC248" s="230"/>
      <c r="AD248" s="230"/>
    </row>
    <row r="249" spans="1:30">
      <c r="A249" s="10"/>
      <c r="B249" s="10"/>
      <c r="C249" s="10"/>
      <c r="D249" s="10"/>
      <c r="E249" s="10"/>
      <c r="F249" s="10"/>
      <c r="G249" s="10"/>
      <c r="H249" s="230"/>
      <c r="I249" s="230"/>
      <c r="J249" s="230"/>
      <c r="K249" s="230"/>
      <c r="L249" s="230"/>
      <c r="M249" s="230"/>
      <c r="N249" s="230"/>
      <c r="O249" s="230"/>
      <c r="P249" s="230"/>
      <c r="Q249" s="230"/>
      <c r="R249" s="230"/>
      <c r="S249" s="230"/>
      <c r="T249" s="230"/>
      <c r="U249" s="230"/>
      <c r="V249" s="230"/>
      <c r="W249" s="230"/>
      <c r="X249" s="230"/>
      <c r="Y249" s="230"/>
      <c r="Z249" s="230"/>
      <c r="AA249" s="230"/>
      <c r="AB249" s="230"/>
      <c r="AC249" s="230"/>
      <c r="AD249" s="230"/>
    </row>
    <row r="250" spans="1:30">
      <c r="A250" s="10"/>
      <c r="B250" s="10"/>
      <c r="C250" s="10"/>
      <c r="D250" s="10"/>
      <c r="E250" s="10"/>
      <c r="F250" s="10"/>
      <c r="G250" s="10"/>
      <c r="H250" s="230"/>
      <c r="I250" s="230"/>
      <c r="J250" s="230"/>
      <c r="K250" s="230"/>
      <c r="L250" s="230"/>
      <c r="M250" s="230"/>
      <c r="N250" s="230"/>
      <c r="O250" s="230"/>
      <c r="P250" s="230"/>
      <c r="Q250" s="230"/>
      <c r="R250" s="230"/>
      <c r="S250" s="230"/>
      <c r="T250" s="230"/>
      <c r="U250" s="230"/>
      <c r="V250" s="230"/>
      <c r="W250" s="230"/>
      <c r="X250" s="230"/>
      <c r="Y250" s="230"/>
      <c r="Z250" s="230"/>
      <c r="AA250" s="230"/>
      <c r="AB250" s="230"/>
      <c r="AC250" s="230"/>
      <c r="AD250" s="230"/>
    </row>
    <row r="251" spans="1:30">
      <c r="A251" s="10"/>
      <c r="B251" s="10"/>
      <c r="C251" s="10"/>
      <c r="D251" s="10"/>
      <c r="E251" s="10"/>
      <c r="F251" s="10"/>
      <c r="G251" s="10"/>
      <c r="H251" s="230"/>
      <c r="I251" s="230"/>
      <c r="J251" s="230"/>
      <c r="K251" s="230"/>
      <c r="L251" s="230"/>
      <c r="M251" s="230"/>
      <c r="N251" s="230"/>
      <c r="O251" s="230"/>
      <c r="P251" s="230"/>
      <c r="Q251" s="230"/>
      <c r="R251" s="230"/>
      <c r="S251" s="230"/>
      <c r="T251" s="230"/>
      <c r="U251" s="230"/>
      <c r="V251" s="230"/>
      <c r="W251" s="230"/>
      <c r="X251" s="230"/>
      <c r="Y251" s="230"/>
      <c r="Z251" s="230"/>
      <c r="AA251" s="230"/>
      <c r="AB251" s="230"/>
      <c r="AC251" s="230"/>
      <c r="AD251" s="230"/>
    </row>
    <row r="252" spans="1:30">
      <c r="A252" s="10"/>
      <c r="B252" s="10"/>
      <c r="C252" s="10"/>
      <c r="D252" s="10"/>
      <c r="E252" s="10"/>
      <c r="F252" s="10"/>
      <c r="G252" s="10"/>
      <c r="H252" s="230"/>
      <c r="I252" s="230"/>
      <c r="J252" s="230"/>
      <c r="K252" s="230"/>
      <c r="L252" s="230"/>
      <c r="M252" s="230"/>
      <c r="N252" s="230"/>
      <c r="O252" s="230"/>
      <c r="P252" s="230"/>
      <c r="Q252" s="230"/>
      <c r="R252" s="230"/>
      <c r="S252" s="230"/>
      <c r="T252" s="230"/>
      <c r="U252" s="230"/>
      <c r="V252" s="230"/>
      <c r="W252" s="230"/>
      <c r="X252" s="230"/>
      <c r="Y252" s="230"/>
      <c r="Z252" s="230"/>
      <c r="AA252" s="230"/>
      <c r="AB252" s="230"/>
      <c r="AC252" s="230"/>
      <c r="AD252" s="230"/>
    </row>
    <row r="253" spans="1:30">
      <c r="A253" s="10"/>
      <c r="B253" s="10"/>
      <c r="C253" s="10"/>
      <c r="D253" s="10"/>
      <c r="E253" s="10"/>
      <c r="F253" s="10"/>
      <c r="G253" s="10"/>
      <c r="H253" s="230"/>
      <c r="I253" s="230"/>
      <c r="J253" s="230"/>
      <c r="K253" s="230"/>
      <c r="L253" s="230"/>
      <c r="M253" s="230"/>
      <c r="N253" s="230"/>
      <c r="O253" s="230"/>
      <c r="P253" s="230"/>
      <c r="Q253" s="230"/>
      <c r="R253" s="230"/>
      <c r="S253" s="230"/>
      <c r="T253" s="230"/>
      <c r="U253" s="230"/>
      <c r="V253" s="230"/>
      <c r="W253" s="230"/>
      <c r="X253" s="230"/>
      <c r="Y253" s="230"/>
      <c r="Z253" s="230"/>
      <c r="AA253" s="230"/>
      <c r="AB253" s="230"/>
      <c r="AC253" s="230"/>
      <c r="AD253" s="230"/>
    </row>
    <row r="254" spans="1:30">
      <c r="A254" s="10"/>
      <c r="B254" s="10"/>
      <c r="C254" s="10"/>
      <c r="D254" s="10"/>
      <c r="E254" s="10"/>
      <c r="F254" s="10"/>
      <c r="G254" s="10"/>
      <c r="H254" s="230"/>
      <c r="I254" s="230"/>
      <c r="J254" s="230"/>
      <c r="K254" s="230"/>
      <c r="L254" s="230"/>
      <c r="M254" s="230"/>
      <c r="N254" s="230"/>
      <c r="O254" s="230"/>
      <c r="P254" s="230"/>
      <c r="Q254" s="230"/>
      <c r="R254" s="230"/>
      <c r="S254" s="230"/>
      <c r="T254" s="230"/>
      <c r="U254" s="230"/>
      <c r="V254" s="230"/>
      <c r="W254" s="230"/>
      <c r="X254" s="230"/>
      <c r="Y254" s="230"/>
      <c r="Z254" s="230"/>
      <c r="AA254" s="230"/>
      <c r="AB254" s="230"/>
      <c r="AC254" s="230"/>
      <c r="AD254" s="230"/>
    </row>
    <row r="255" spans="1:30">
      <c r="A255" s="10"/>
      <c r="B255" s="10"/>
      <c r="C255" s="10"/>
      <c r="D255" s="10"/>
      <c r="E255" s="10"/>
      <c r="F255" s="10"/>
      <c r="G255" s="10"/>
      <c r="H255" s="230"/>
      <c r="I255" s="230"/>
      <c r="J255" s="230"/>
      <c r="K255" s="230"/>
      <c r="L255" s="230"/>
      <c r="M255" s="230"/>
      <c r="N255" s="230"/>
      <c r="O255" s="230"/>
      <c r="P255" s="230"/>
      <c r="Q255" s="230"/>
      <c r="R255" s="230"/>
      <c r="S255" s="230"/>
      <c r="T255" s="230"/>
      <c r="U255" s="230"/>
      <c r="V255" s="230"/>
      <c r="W255" s="230"/>
      <c r="X255" s="230"/>
      <c r="Y255" s="230"/>
      <c r="Z255" s="230"/>
      <c r="AA255" s="230"/>
      <c r="AB255" s="230"/>
      <c r="AC255" s="230"/>
      <c r="AD255" s="230"/>
    </row>
    <row r="256" spans="1:30">
      <c r="A256" s="10"/>
      <c r="B256" s="10"/>
      <c r="C256" s="10"/>
      <c r="D256" s="10"/>
      <c r="E256" s="10"/>
      <c r="F256" s="10"/>
      <c r="G256" s="10"/>
      <c r="H256" s="230"/>
      <c r="I256" s="230"/>
      <c r="J256" s="230"/>
      <c r="K256" s="230"/>
      <c r="L256" s="230"/>
      <c r="M256" s="230"/>
      <c r="N256" s="230"/>
      <c r="O256" s="230"/>
      <c r="P256" s="230"/>
      <c r="Q256" s="230"/>
      <c r="R256" s="230"/>
      <c r="S256" s="230"/>
      <c r="T256" s="230"/>
      <c r="U256" s="230"/>
      <c r="V256" s="230"/>
      <c r="W256" s="230"/>
      <c r="X256" s="230"/>
      <c r="Y256" s="230"/>
      <c r="Z256" s="230"/>
      <c r="AA256" s="230"/>
      <c r="AB256" s="230"/>
      <c r="AC256" s="230"/>
      <c r="AD256" s="230"/>
    </row>
    <row r="257" spans="1:30">
      <c r="A257" s="10"/>
      <c r="B257" s="10"/>
      <c r="C257" s="10"/>
      <c r="D257" s="10"/>
      <c r="E257" s="10"/>
      <c r="F257" s="10"/>
      <c r="G257" s="10"/>
      <c r="H257" s="230"/>
      <c r="I257" s="230"/>
      <c r="J257" s="230"/>
      <c r="K257" s="230"/>
      <c r="L257" s="230"/>
      <c r="M257" s="230"/>
      <c r="N257" s="230"/>
      <c r="O257" s="230"/>
      <c r="P257" s="230"/>
      <c r="Q257" s="230"/>
      <c r="R257" s="230"/>
      <c r="S257" s="230"/>
      <c r="T257" s="230"/>
      <c r="U257" s="230"/>
      <c r="V257" s="230"/>
      <c r="W257" s="230"/>
      <c r="X257" s="230"/>
      <c r="Y257" s="230"/>
      <c r="Z257" s="230"/>
      <c r="AA257" s="230"/>
      <c r="AB257" s="230"/>
      <c r="AC257" s="230"/>
      <c r="AD257" s="230"/>
    </row>
    <row r="258" spans="1:30">
      <c r="A258" s="10"/>
      <c r="B258" s="10"/>
      <c r="C258" s="10"/>
      <c r="D258" s="10"/>
      <c r="E258" s="10"/>
      <c r="F258" s="10"/>
      <c r="G258" s="10"/>
      <c r="H258" s="230"/>
      <c r="I258" s="230"/>
      <c r="J258" s="230"/>
      <c r="K258" s="230"/>
      <c r="L258" s="230"/>
      <c r="M258" s="230"/>
      <c r="N258" s="230"/>
      <c r="O258" s="230"/>
      <c r="P258" s="230"/>
      <c r="Q258" s="230"/>
      <c r="R258" s="230"/>
      <c r="S258" s="230"/>
      <c r="T258" s="230"/>
      <c r="U258" s="230"/>
      <c r="V258" s="230"/>
      <c r="W258" s="230"/>
      <c r="X258" s="230"/>
      <c r="Y258" s="230"/>
      <c r="Z258" s="230"/>
      <c r="AA258" s="230"/>
      <c r="AB258" s="230"/>
      <c r="AC258" s="230"/>
      <c r="AD258" s="230"/>
    </row>
    <row r="259" spans="1:30">
      <c r="A259" s="10"/>
      <c r="B259" s="10"/>
      <c r="C259" s="10"/>
      <c r="D259" s="10"/>
      <c r="E259" s="10"/>
      <c r="F259" s="10"/>
      <c r="G259" s="1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row>
    <row r="260" spans="1:30">
      <c r="A260" s="10"/>
      <c r="B260" s="10"/>
      <c r="C260" s="10"/>
      <c r="D260" s="10"/>
      <c r="E260" s="10"/>
      <c r="F260" s="10"/>
      <c r="G260" s="10"/>
      <c r="H260" s="230"/>
      <c r="I260" s="230"/>
      <c r="J260" s="230"/>
      <c r="K260" s="230"/>
      <c r="L260" s="230"/>
      <c r="M260" s="230"/>
      <c r="N260" s="230"/>
      <c r="O260" s="230"/>
      <c r="P260" s="230"/>
      <c r="Q260" s="230"/>
      <c r="R260" s="230"/>
      <c r="S260" s="230"/>
      <c r="T260" s="230"/>
      <c r="U260" s="230"/>
      <c r="V260" s="230"/>
      <c r="W260" s="230"/>
      <c r="X260" s="230"/>
      <c r="Y260" s="230"/>
      <c r="Z260" s="230"/>
      <c r="AA260" s="230"/>
      <c r="AB260" s="230"/>
      <c r="AC260" s="230"/>
      <c r="AD260" s="230"/>
    </row>
    <row r="261" spans="1:30">
      <c r="A261" s="10"/>
      <c r="B261" s="10"/>
      <c r="C261" s="10"/>
      <c r="D261" s="10"/>
      <c r="E261" s="10"/>
      <c r="F261" s="10"/>
      <c r="G261" s="10"/>
      <c r="H261" s="230"/>
      <c r="I261" s="230"/>
      <c r="J261" s="230"/>
      <c r="K261" s="230"/>
      <c r="L261" s="230"/>
      <c r="M261" s="230"/>
      <c r="N261" s="230"/>
      <c r="O261" s="230"/>
      <c r="P261" s="230"/>
      <c r="Q261" s="230"/>
      <c r="R261" s="230"/>
      <c r="S261" s="230"/>
      <c r="T261" s="230"/>
      <c r="U261" s="230"/>
      <c r="V261" s="230"/>
      <c r="W261" s="230"/>
      <c r="X261" s="230"/>
      <c r="Y261" s="230"/>
      <c r="Z261" s="230"/>
      <c r="AA261" s="230"/>
      <c r="AB261" s="230"/>
      <c r="AC261" s="230"/>
      <c r="AD261" s="230"/>
    </row>
    <row r="262" spans="1:30">
      <c r="A262" s="10"/>
      <c r="B262" s="10"/>
      <c r="C262" s="10"/>
      <c r="D262" s="10"/>
      <c r="E262" s="10"/>
      <c r="F262" s="10"/>
      <c r="G262" s="10"/>
      <c r="H262" s="230"/>
      <c r="I262" s="230"/>
      <c r="J262" s="230"/>
      <c r="K262" s="230"/>
      <c r="L262" s="230"/>
      <c r="M262" s="230"/>
      <c r="N262" s="230"/>
      <c r="O262" s="230"/>
      <c r="P262" s="230"/>
      <c r="Q262" s="230"/>
      <c r="R262" s="230"/>
      <c r="S262" s="230"/>
      <c r="T262" s="230"/>
      <c r="U262" s="230"/>
      <c r="V262" s="230"/>
      <c r="W262" s="230"/>
      <c r="X262" s="230"/>
      <c r="Y262" s="230"/>
      <c r="Z262" s="230"/>
      <c r="AA262" s="230"/>
      <c r="AB262" s="230"/>
      <c r="AC262" s="230"/>
      <c r="AD262" s="230"/>
    </row>
    <row r="263" spans="1:30">
      <c r="A263" s="10"/>
      <c r="B263" s="10"/>
      <c r="C263" s="10"/>
      <c r="D263" s="10"/>
      <c r="E263" s="10"/>
      <c r="F263" s="10"/>
      <c r="G263" s="10"/>
      <c r="H263" s="230"/>
      <c r="I263" s="230"/>
      <c r="J263" s="230"/>
      <c r="K263" s="230"/>
      <c r="L263" s="230"/>
      <c r="M263" s="230"/>
      <c r="N263" s="230"/>
      <c r="O263" s="230"/>
      <c r="P263" s="230"/>
      <c r="Q263" s="230"/>
      <c r="R263" s="230"/>
      <c r="S263" s="230"/>
      <c r="T263" s="230"/>
      <c r="U263" s="230"/>
      <c r="V263" s="230"/>
      <c r="W263" s="230"/>
      <c r="X263" s="230"/>
      <c r="Y263" s="230"/>
      <c r="Z263" s="230"/>
      <c r="AA263" s="230"/>
      <c r="AB263" s="230"/>
      <c r="AC263" s="230"/>
      <c r="AD263" s="230"/>
    </row>
    <row r="264" spans="1:30">
      <c r="A264" s="10"/>
      <c r="B264" s="10"/>
      <c r="C264" s="10"/>
      <c r="D264" s="10"/>
      <c r="E264" s="10"/>
      <c r="F264" s="10"/>
      <c r="G264" s="10"/>
      <c r="H264" s="230"/>
      <c r="I264" s="230"/>
      <c r="J264" s="230"/>
      <c r="K264" s="230"/>
      <c r="L264" s="230"/>
      <c r="M264" s="230"/>
      <c r="N264" s="230"/>
      <c r="O264" s="230"/>
      <c r="P264" s="230"/>
      <c r="Q264" s="230"/>
      <c r="R264" s="230"/>
      <c r="S264" s="230"/>
      <c r="T264" s="230"/>
      <c r="U264" s="230"/>
      <c r="V264" s="230"/>
      <c r="W264" s="230"/>
      <c r="X264" s="230"/>
      <c r="Y264" s="230"/>
      <c r="Z264" s="230"/>
      <c r="AA264" s="230"/>
      <c r="AB264" s="230"/>
      <c r="AC264" s="230"/>
      <c r="AD264" s="230"/>
    </row>
    <row r="265" spans="1:30">
      <c r="A265" s="10"/>
      <c r="B265" s="10"/>
      <c r="C265" s="10"/>
      <c r="D265" s="10"/>
      <c r="E265" s="10"/>
      <c r="F265" s="10"/>
      <c r="G265" s="10"/>
      <c r="H265" s="230"/>
      <c r="I265" s="230"/>
      <c r="J265" s="230"/>
      <c r="K265" s="230"/>
      <c r="L265" s="230"/>
      <c r="M265" s="230"/>
      <c r="N265" s="230"/>
      <c r="O265" s="230"/>
      <c r="P265" s="230"/>
      <c r="Q265" s="230"/>
      <c r="R265" s="230"/>
      <c r="S265" s="230"/>
      <c r="T265" s="230"/>
      <c r="U265" s="230"/>
      <c r="V265" s="230"/>
      <c r="W265" s="230"/>
      <c r="X265" s="230"/>
      <c r="Y265" s="230"/>
      <c r="Z265" s="230"/>
      <c r="AA265" s="230"/>
      <c r="AB265" s="230"/>
      <c r="AC265" s="230"/>
      <c r="AD265" s="230"/>
    </row>
    <row r="266" spans="1:30">
      <c r="A266" s="10"/>
      <c r="B266" s="10"/>
      <c r="C266" s="10"/>
      <c r="D266" s="10"/>
      <c r="E266" s="10"/>
      <c r="F266" s="10"/>
      <c r="G266" s="10"/>
      <c r="H266" s="230"/>
      <c r="I266" s="230"/>
      <c r="J266" s="230"/>
      <c r="K266" s="230"/>
      <c r="L266" s="230"/>
      <c r="M266" s="230"/>
      <c r="N266" s="230"/>
      <c r="O266" s="230"/>
      <c r="P266" s="230"/>
      <c r="Q266" s="230"/>
      <c r="R266" s="230"/>
      <c r="S266" s="230"/>
      <c r="T266" s="230"/>
      <c r="U266" s="230"/>
      <c r="V266" s="230"/>
      <c r="W266" s="230"/>
      <c r="X266" s="230"/>
      <c r="Y266" s="230"/>
      <c r="Z266" s="230"/>
      <c r="AA266" s="230"/>
      <c r="AB266" s="230"/>
      <c r="AC266" s="230"/>
      <c r="AD266" s="230"/>
    </row>
    <row r="267" spans="1:30">
      <c r="H267" s="230"/>
      <c r="I267" s="230"/>
      <c r="J267" s="230"/>
      <c r="K267" s="230"/>
      <c r="L267" s="230"/>
      <c r="M267" s="230"/>
      <c r="N267" s="230"/>
      <c r="O267" s="230"/>
      <c r="P267" s="230"/>
      <c r="Q267" s="230"/>
      <c r="R267" s="230"/>
      <c r="S267" s="230"/>
      <c r="T267" s="230"/>
      <c r="U267" s="230"/>
      <c r="V267" s="230"/>
      <c r="W267" s="230"/>
      <c r="X267" s="230"/>
      <c r="Y267" s="230"/>
      <c r="Z267" s="230"/>
      <c r="AA267" s="230"/>
      <c r="AB267" s="230"/>
      <c r="AC267" s="230"/>
      <c r="AD267" s="230"/>
    </row>
  </sheetData>
  <mergeCells count="25">
    <mergeCell ref="A212:A214"/>
    <mergeCell ref="A208:A210"/>
    <mergeCell ref="A206:A207"/>
    <mergeCell ref="A191:A196"/>
    <mergeCell ref="A197:A202"/>
    <mergeCell ref="A177:A181"/>
    <mergeCell ref="A182:A186"/>
    <mergeCell ref="A187:A190"/>
    <mergeCell ref="D57:E57"/>
    <mergeCell ref="A82:B82"/>
    <mergeCell ref="A68:C69"/>
    <mergeCell ref="A57:C57"/>
    <mergeCell ref="A175:A176"/>
    <mergeCell ref="B175:B176"/>
    <mergeCell ref="D68:D69"/>
    <mergeCell ref="E68:E69"/>
    <mergeCell ref="A167:A170"/>
    <mergeCell ref="B167:B170"/>
    <mergeCell ref="A171:A174"/>
    <mergeCell ref="B171:B174"/>
    <mergeCell ref="A8:I8"/>
    <mergeCell ref="A14:G14"/>
    <mergeCell ref="A10:G10"/>
    <mergeCell ref="A6:G6"/>
    <mergeCell ref="A7:I7"/>
  </mergeCells>
  <phoneticPr fontId="12" type="noConversion"/>
  <dataValidations count="2">
    <dataValidation type="list" allowBlank="1" showInputMessage="1" showErrorMessage="1" sqref="C19:C54" xr:uid="{00000000-0002-0000-0400-000000000000}">
      <formula1>Vehicle_Type</formula1>
    </dataValidation>
    <dataValidation errorStyle="information" allowBlank="1" showInputMessage="1" showErrorMessage="1" promptTitle="Enter Date for On-Road Vehicles" prompt="Date only needed for gasoline or diesel on-road vehicles." sqref="D20:D54" xr:uid="{09538778-870F-4363-BC94-176C58B5497C}"/>
  </dataValidations>
  <pageMargins left="0.25" right="0.25" top="0.25" bottom="0.5" header="0.5" footer="0.25"/>
  <pageSetup scale="93" orientation="portrait" r:id="rId1"/>
  <headerFooter alignWithMargins="0">
    <oddFooter>&amp;L&amp;"Arial,Italic"&amp;9EPA Climate Leaders Simplified GHG Emissions Calculator (Direct 2.0)&amp;R&amp;"Arial,Italic"&amp;9&amp;P of &amp;N</oddFooter>
  </headerFooter>
  <colBreaks count="1" manualBreakCount="1">
    <brk id="7" max="1048575" man="1"/>
  </colBreaks>
  <drawing r:id="rId2"/>
  <legacyDrawing r:id="rId3"/>
  <controls>
    <mc:AlternateContent xmlns:mc="http://schemas.openxmlformats.org/markup-compatibility/2006">
      <mc:Choice Requires="x14">
        <control shapeId="13412" r:id="rId4" name="CommandButton1">
          <controlPr autoLine="0" r:id="rId5">
            <anchor>
              <from>
                <xdr:col>0</xdr:col>
                <xdr:colOff>752475</xdr:colOff>
                <xdr:row>0</xdr:row>
                <xdr:rowOff>142875</xdr:rowOff>
              </from>
              <to>
                <xdr:col>0</xdr:col>
                <xdr:colOff>1666875</xdr:colOff>
                <xdr:row>1</xdr:row>
                <xdr:rowOff>142875</xdr:rowOff>
              </to>
            </anchor>
          </controlPr>
        </control>
      </mc:Choice>
      <mc:Fallback>
        <control shapeId="13412" r:id="rId4" name="CommandButton1"/>
      </mc:Fallback>
    </mc:AlternateContent>
    <mc:AlternateContent xmlns:mc="http://schemas.openxmlformats.org/markup-compatibility/2006">
      <mc:Choice Requires="x14">
        <control shapeId="13413" r:id="rId6" name="CommandButton2">
          <controlPr autoLine="0" r:id="rId7">
            <anchor>
              <from>
                <xdr:col>0</xdr:col>
                <xdr:colOff>1857375</xdr:colOff>
                <xdr:row>0</xdr:row>
                <xdr:rowOff>133350</xdr:rowOff>
              </from>
              <to>
                <xdr:col>1</xdr:col>
                <xdr:colOff>1200150</xdr:colOff>
                <xdr:row>1</xdr:row>
                <xdr:rowOff>133350</xdr:rowOff>
              </to>
            </anchor>
          </controlPr>
        </control>
      </mc:Choice>
      <mc:Fallback>
        <control shapeId="13413" r:id="rId6" name="CommandButton2"/>
      </mc:Fallback>
    </mc:AlternateContent>
    <mc:AlternateContent xmlns:mc="http://schemas.openxmlformats.org/markup-compatibility/2006">
      <mc:Choice Requires="x14">
        <control shapeId="13523" r:id="rId8" name="CommandButton3">
          <controlPr autoLine="0" r:id="rId9">
            <anchor moveWithCells="1">
              <from>
                <xdr:col>4</xdr:col>
                <xdr:colOff>142875</xdr:colOff>
                <xdr:row>0</xdr:row>
                <xdr:rowOff>142875</xdr:rowOff>
              </from>
              <to>
                <xdr:col>5</xdr:col>
                <xdr:colOff>295275</xdr:colOff>
                <xdr:row>1</xdr:row>
                <xdr:rowOff>133350</xdr:rowOff>
              </to>
            </anchor>
          </controlPr>
        </control>
      </mc:Choice>
      <mc:Fallback>
        <control shapeId="13523" r:id="rId8" name="CommandButton3"/>
      </mc:Fallback>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AD199"/>
  <sheetViews>
    <sheetView zoomScaleNormal="100" zoomScaleSheetLayoutView="100" workbookViewId="0">
      <pane ySplit="4" topLeftCell="A101" activePane="bottomLeft" state="frozen"/>
      <selection pane="bottomLeft" activeCell="D77" sqref="D77"/>
    </sheetView>
  </sheetViews>
  <sheetFormatPr defaultRowHeight="12.75"/>
  <cols>
    <col min="1" max="1" width="10.7109375" customWidth="1"/>
    <col min="2" max="2" width="24.7109375" customWidth="1"/>
    <col min="3" max="3" width="10.7109375" customWidth="1"/>
    <col min="4" max="4" width="11.28515625" customWidth="1"/>
    <col min="5" max="5" width="19.5703125" customWidth="1"/>
    <col min="6" max="6" width="15.7109375" customWidth="1"/>
    <col min="7" max="7" width="10.7109375" customWidth="1"/>
    <col min="8" max="8" width="14.7109375" bestFit="1" customWidth="1"/>
    <col min="9" max="9" width="22" customWidth="1"/>
    <col min="17" max="17" width="20" bestFit="1" customWidth="1"/>
    <col min="18" max="18" width="22" bestFit="1" customWidth="1"/>
    <col min="19" max="19" width="23.5703125" bestFit="1" customWidth="1"/>
    <col min="20" max="20" width="19.85546875" bestFit="1" customWidth="1"/>
    <col min="21" max="21" width="19.5703125" bestFit="1" customWidth="1"/>
    <col min="22" max="22" width="15.7109375" customWidth="1"/>
    <col min="23" max="23" width="24.7109375" bestFit="1" customWidth="1"/>
    <col min="24" max="24" width="12.42578125" bestFit="1" customWidth="1"/>
    <col min="25" max="25" width="23.5703125" bestFit="1"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912</v>
      </c>
      <c r="B3" s="10"/>
      <c r="C3" s="10"/>
      <c r="D3" s="10"/>
      <c r="E3" s="10"/>
      <c r="F3" s="10"/>
      <c r="G3" s="1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13" t="s">
        <v>346</v>
      </c>
      <c r="B5" s="10"/>
      <c r="C5" s="10"/>
      <c r="D5" s="10"/>
      <c r="E5" s="10"/>
      <c r="F5" s="10"/>
      <c r="G5" s="10"/>
      <c r="H5" s="230"/>
      <c r="I5" s="230"/>
      <c r="J5" s="230"/>
      <c r="K5" s="230"/>
      <c r="L5" s="230"/>
      <c r="M5" s="230"/>
      <c r="N5" s="230"/>
      <c r="O5" s="230"/>
      <c r="P5" s="230"/>
      <c r="Q5" s="230"/>
      <c r="R5" s="230"/>
      <c r="S5" s="230"/>
      <c r="T5" s="230"/>
      <c r="U5" s="230"/>
      <c r="V5" s="230"/>
      <c r="W5" s="230"/>
      <c r="X5" s="230"/>
      <c r="Y5" s="230"/>
      <c r="Z5" s="230"/>
      <c r="AA5" s="230"/>
      <c r="AB5" s="230"/>
      <c r="AC5" s="230"/>
      <c r="AD5" s="230"/>
    </row>
    <row r="6" spans="1:30" ht="44.25" customHeight="1">
      <c r="A6" s="1196" t="s">
        <v>688</v>
      </c>
      <c r="B6" s="1196"/>
      <c r="C6" s="1196"/>
      <c r="D6" s="1196"/>
      <c r="E6" s="1196"/>
      <c r="F6" s="1196"/>
      <c r="G6" s="1196"/>
      <c r="H6" s="1196"/>
      <c r="I6" s="230"/>
      <c r="J6" s="230"/>
      <c r="K6" s="230"/>
      <c r="L6" s="230"/>
      <c r="M6" s="230"/>
      <c r="N6" s="230"/>
      <c r="O6" s="230"/>
      <c r="P6" s="230"/>
      <c r="Q6" s="230"/>
      <c r="R6" s="230"/>
      <c r="S6" s="230"/>
      <c r="T6" s="230"/>
      <c r="U6" s="230"/>
      <c r="V6" s="230"/>
      <c r="W6" s="230"/>
      <c r="X6" s="230"/>
      <c r="Y6" s="230"/>
      <c r="Z6" s="230"/>
      <c r="AA6" s="230"/>
      <c r="AB6" s="230"/>
      <c r="AC6" s="230"/>
      <c r="AD6" s="230"/>
    </row>
    <row r="7" spans="1:30" ht="51" customHeight="1">
      <c r="A7" s="1196" t="s">
        <v>957</v>
      </c>
      <c r="B7" s="1196"/>
      <c r="C7" s="1196"/>
      <c r="D7" s="1196"/>
      <c r="E7" s="1196"/>
      <c r="F7" s="1196"/>
      <c r="G7" s="1196"/>
      <c r="H7" s="1196"/>
      <c r="I7" s="257"/>
      <c r="J7" s="230"/>
      <c r="K7" s="230"/>
      <c r="L7" s="230"/>
      <c r="M7" s="230"/>
      <c r="N7" s="230"/>
      <c r="O7" s="230"/>
      <c r="P7" s="230"/>
      <c r="Q7" s="230"/>
      <c r="R7" s="230"/>
      <c r="S7" s="230"/>
      <c r="T7" s="230"/>
      <c r="U7" s="230"/>
      <c r="V7" s="230"/>
      <c r="W7" s="230"/>
      <c r="X7" s="230"/>
      <c r="Y7" s="230"/>
      <c r="Z7" s="230"/>
      <c r="AA7" s="230"/>
      <c r="AB7" s="230"/>
      <c r="AC7" s="230"/>
      <c r="AD7" s="230"/>
    </row>
    <row r="8" spans="1:30" ht="15.75" customHeight="1">
      <c r="A8" s="101" t="s">
        <v>784</v>
      </c>
      <c r="B8" s="10"/>
      <c r="C8" s="10"/>
      <c r="D8" s="10"/>
      <c r="E8" s="10"/>
      <c r="F8" s="10"/>
      <c r="G8" s="10"/>
      <c r="H8" s="10"/>
      <c r="I8" s="257"/>
      <c r="J8" s="230"/>
      <c r="K8" s="230"/>
      <c r="L8" s="230"/>
      <c r="M8" s="230"/>
      <c r="N8" s="230"/>
      <c r="O8" s="230"/>
      <c r="P8" s="230"/>
      <c r="Q8" s="230"/>
      <c r="R8" s="230"/>
      <c r="S8" s="230"/>
      <c r="T8" s="230"/>
      <c r="U8" s="230"/>
      <c r="V8" s="230"/>
      <c r="W8" s="230"/>
      <c r="X8" s="230"/>
      <c r="Y8" s="230"/>
      <c r="Z8" s="230"/>
      <c r="AA8" s="230"/>
      <c r="AB8" s="230"/>
      <c r="AC8" s="230"/>
      <c r="AD8" s="230"/>
    </row>
    <row r="9" spans="1:30" s="8" customFormat="1">
      <c r="A9" s="101"/>
      <c r="B9" s="14"/>
      <c r="C9" s="14"/>
      <c r="D9" s="14"/>
      <c r="E9" s="14"/>
      <c r="F9" s="14"/>
      <c r="G9" s="14"/>
      <c r="H9" s="14"/>
      <c r="I9" s="257"/>
      <c r="J9" s="257"/>
      <c r="K9" s="257"/>
      <c r="L9" s="257"/>
      <c r="M9" s="257"/>
      <c r="N9" s="257"/>
      <c r="O9" s="257"/>
      <c r="P9" s="257"/>
      <c r="Q9" s="257"/>
      <c r="R9" s="257"/>
      <c r="S9" s="257"/>
      <c r="T9" s="257"/>
      <c r="U9" s="257"/>
      <c r="V9" s="257"/>
      <c r="W9" s="257"/>
      <c r="X9" s="257"/>
      <c r="Y9" s="257"/>
      <c r="Z9" s="257"/>
      <c r="AA9" s="257"/>
      <c r="AB9" s="257"/>
      <c r="AC9" s="257"/>
      <c r="AD9" s="257"/>
    </row>
    <row r="10" spans="1:30" s="8" customFormat="1">
      <c r="A10" s="13" t="s">
        <v>1126</v>
      </c>
      <c r="B10" s="10"/>
      <c r="C10" s="10"/>
      <c r="D10" s="14"/>
      <c r="E10" s="14"/>
      <c r="F10" s="14"/>
      <c r="G10" s="14"/>
      <c r="H10" s="14"/>
      <c r="I10" s="257"/>
      <c r="J10" s="257"/>
      <c r="K10" s="257"/>
      <c r="L10" s="257"/>
      <c r="M10" s="257"/>
      <c r="N10" s="257"/>
      <c r="O10" s="257"/>
      <c r="P10" s="257"/>
      <c r="Q10" s="257"/>
      <c r="R10" s="257"/>
      <c r="S10" s="257"/>
      <c r="T10" s="257"/>
      <c r="U10" s="257"/>
      <c r="V10" s="257"/>
      <c r="W10" s="257"/>
      <c r="X10" s="257"/>
      <c r="Y10" s="257"/>
      <c r="Z10" s="257"/>
      <c r="AA10" s="257"/>
      <c r="AB10" s="257"/>
      <c r="AC10" s="257"/>
      <c r="AD10" s="257"/>
    </row>
    <row r="11" spans="1:30">
      <c r="A11" s="101" t="s">
        <v>750</v>
      </c>
      <c r="B11" s="14"/>
      <c r="C11" s="14"/>
      <c r="D11" s="10"/>
      <c r="E11" s="10"/>
      <c r="F11" s="10"/>
      <c r="G11" s="10"/>
      <c r="H11" s="10"/>
      <c r="I11" s="230"/>
      <c r="J11" s="230"/>
      <c r="K11" s="230"/>
      <c r="L11" s="230"/>
      <c r="M11" s="230"/>
      <c r="N11" s="230"/>
      <c r="O11" s="230"/>
      <c r="P11" s="230"/>
      <c r="Q11" s="230"/>
      <c r="R11" s="230"/>
      <c r="S11" s="230"/>
      <c r="T11" s="230"/>
      <c r="U11" s="230"/>
      <c r="V11" s="230"/>
      <c r="W11" s="230"/>
      <c r="X11" s="230"/>
      <c r="Y11" s="230"/>
      <c r="Z11" s="230"/>
      <c r="AA11" s="230"/>
      <c r="AB11" s="230"/>
      <c r="AC11" s="230"/>
      <c r="AD11" s="230"/>
    </row>
    <row r="12" spans="1:30">
      <c r="A12" s="101" t="s">
        <v>24</v>
      </c>
      <c r="B12" s="14"/>
      <c r="C12" s="14"/>
      <c r="D12" s="10"/>
      <c r="E12" s="10"/>
      <c r="F12" s="10"/>
      <c r="G12" s="10"/>
      <c r="H12" s="10"/>
      <c r="I12" s="230"/>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101" t="s">
        <v>26</v>
      </c>
      <c r="B13" s="14"/>
      <c r="C13" s="14"/>
      <c r="D13" s="10"/>
      <c r="E13" s="10"/>
      <c r="F13" s="10"/>
      <c r="G13" s="10"/>
      <c r="H13" s="10"/>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c r="A14" s="101" t="s">
        <v>25</v>
      </c>
      <c r="B14" s="14"/>
      <c r="C14" s="14"/>
      <c r="D14" s="10"/>
      <c r="E14" s="10"/>
      <c r="F14" s="10"/>
      <c r="G14" s="10"/>
      <c r="H14" s="1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101" t="s">
        <v>908</v>
      </c>
      <c r="B15" s="14"/>
      <c r="C15" s="14"/>
      <c r="D15" s="10"/>
      <c r="E15" s="10"/>
      <c r="F15" s="10"/>
      <c r="G15" s="10"/>
      <c r="H15" s="1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14" t="s">
        <v>909</v>
      </c>
      <c r="B16" s="14"/>
      <c r="C16" s="14"/>
      <c r="D16" s="10"/>
      <c r="E16" s="10"/>
      <c r="F16" s="10"/>
      <c r="G16" s="10"/>
      <c r="H16" s="1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101" t="s">
        <v>29</v>
      </c>
      <c r="B17" s="14"/>
      <c r="C17" s="14"/>
      <c r="D17" s="10"/>
      <c r="E17" s="10"/>
      <c r="F17" s="10"/>
      <c r="G17" s="10"/>
      <c r="H17" s="1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14" t="s">
        <v>30</v>
      </c>
      <c r="B18" s="14"/>
      <c r="C18" s="14"/>
      <c r="D18" s="10"/>
      <c r="E18" s="10"/>
      <c r="F18" s="10"/>
      <c r="G18" s="10"/>
      <c r="H18" s="10"/>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101" t="s">
        <v>105</v>
      </c>
      <c r="B19" s="14"/>
      <c r="C19" s="14"/>
      <c r="D19" s="10"/>
      <c r="E19" s="10"/>
      <c r="F19" s="10"/>
      <c r="G19" s="10"/>
      <c r="H19" s="10"/>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101" t="s">
        <v>106</v>
      </c>
      <c r="B20" s="14"/>
      <c r="C20" s="14"/>
      <c r="D20" s="10"/>
      <c r="E20" s="10"/>
      <c r="F20" s="10"/>
      <c r="G20" s="10"/>
      <c r="H20" s="10"/>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15"/>
      <c r="B21" s="10"/>
      <c r="C21" s="10"/>
      <c r="D21" s="10"/>
      <c r="E21" s="10"/>
      <c r="F21" s="10"/>
      <c r="G21" s="10"/>
      <c r="H21" s="1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ht="15" thickBot="1">
      <c r="A22" s="13" t="s">
        <v>1364</v>
      </c>
      <c r="B22" s="10"/>
      <c r="C22" s="10"/>
      <c r="D22" s="10"/>
      <c r="E22" s="10"/>
      <c r="F22" s="10"/>
      <c r="G22" s="10"/>
      <c r="H22" s="1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ht="14.25">
      <c r="A23" s="20" t="s">
        <v>31</v>
      </c>
      <c r="B23" s="21" t="s">
        <v>31</v>
      </c>
      <c r="C23" s="21" t="s">
        <v>111</v>
      </c>
      <c r="D23" s="21" t="s">
        <v>112</v>
      </c>
      <c r="E23" s="21" t="s">
        <v>114</v>
      </c>
      <c r="F23" s="22" t="s">
        <v>466</v>
      </c>
      <c r="G23" s="10"/>
      <c r="H23" s="1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c r="A24" s="39"/>
      <c r="B24" s="28" t="s">
        <v>137</v>
      </c>
      <c r="C24" s="28" t="s">
        <v>103</v>
      </c>
      <c r="D24" s="28" t="s">
        <v>113</v>
      </c>
      <c r="E24" s="28" t="s">
        <v>103</v>
      </c>
      <c r="F24" s="29" t="s">
        <v>184</v>
      </c>
      <c r="G24" s="10"/>
      <c r="H24" s="1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13.5" thickBot="1">
      <c r="A25" s="23"/>
      <c r="B25" s="24"/>
      <c r="C25" s="24" t="s">
        <v>198</v>
      </c>
      <c r="D25" s="24" t="s">
        <v>198</v>
      </c>
      <c r="E25" s="24" t="s">
        <v>198</v>
      </c>
      <c r="F25" s="25" t="s">
        <v>198</v>
      </c>
      <c r="G25" s="10"/>
      <c r="H25" s="1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c r="A26" s="537"/>
      <c r="B26" s="567" t="str">
        <f t="shared" ref="B26:B36" si="0">IF(A26="","",VLOOKUP(A26,GWP,2,FALSE))</f>
        <v/>
      </c>
      <c r="C26" s="568"/>
      <c r="D26" s="568"/>
      <c r="E26" s="568"/>
      <c r="F26" s="565" t="str">
        <f t="shared" ref="F26:F36" si="1">IF(B26="", "",IF(($C26+$D26+$E26)*$B26&lt;0,0,($C26+$D26+$E26)*$B26))</f>
        <v/>
      </c>
      <c r="G26" s="10"/>
      <c r="H26" s="1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c r="A27" s="539"/>
      <c r="B27" s="273" t="str">
        <f t="shared" si="0"/>
        <v/>
      </c>
      <c r="C27" s="518"/>
      <c r="D27" s="518"/>
      <c r="E27" s="518"/>
      <c r="F27" s="519" t="str">
        <f t="shared" si="1"/>
        <v/>
      </c>
      <c r="G27" s="10"/>
      <c r="H27" s="1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c r="A28" s="539"/>
      <c r="B28" s="273" t="str">
        <f t="shared" si="0"/>
        <v/>
      </c>
      <c r="C28" s="518"/>
      <c r="D28" s="518"/>
      <c r="E28" s="518"/>
      <c r="F28" s="519" t="str">
        <f t="shared" si="1"/>
        <v/>
      </c>
      <c r="G28" s="10"/>
      <c r="H28" s="1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c r="A29" s="539"/>
      <c r="B29" s="273" t="str">
        <f t="shared" si="0"/>
        <v/>
      </c>
      <c r="C29" s="518"/>
      <c r="D29" s="518"/>
      <c r="E29" s="518"/>
      <c r="F29" s="519" t="str">
        <f t="shared" si="1"/>
        <v/>
      </c>
      <c r="G29" s="10"/>
      <c r="H29" s="1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c r="A30" s="539"/>
      <c r="B30" s="273" t="str">
        <f t="shared" si="0"/>
        <v/>
      </c>
      <c r="C30" s="518"/>
      <c r="D30" s="518"/>
      <c r="E30" s="518"/>
      <c r="F30" s="519" t="str">
        <f t="shared" si="1"/>
        <v/>
      </c>
      <c r="G30" s="10"/>
      <c r="H30" s="1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539"/>
      <c r="B31" s="273" t="str">
        <f t="shared" si="0"/>
        <v/>
      </c>
      <c r="C31" s="518"/>
      <c r="D31" s="518"/>
      <c r="E31" s="518"/>
      <c r="F31" s="519" t="str">
        <f t="shared" si="1"/>
        <v/>
      </c>
      <c r="G31" s="10"/>
      <c r="H31" s="1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539"/>
      <c r="B32" s="273" t="str">
        <f t="shared" si="0"/>
        <v/>
      </c>
      <c r="C32" s="518"/>
      <c r="D32" s="518"/>
      <c r="E32" s="518"/>
      <c r="F32" s="519" t="str">
        <f t="shared" si="1"/>
        <v/>
      </c>
      <c r="G32" s="10"/>
      <c r="H32" s="1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539"/>
      <c r="B33" s="273" t="str">
        <f t="shared" si="0"/>
        <v/>
      </c>
      <c r="C33" s="518"/>
      <c r="D33" s="518"/>
      <c r="E33" s="518"/>
      <c r="F33" s="519" t="str">
        <f t="shared" si="1"/>
        <v/>
      </c>
      <c r="G33" s="10"/>
      <c r="H33" s="1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c r="A34" s="539"/>
      <c r="B34" s="273" t="str">
        <f t="shared" si="0"/>
        <v/>
      </c>
      <c r="C34" s="518"/>
      <c r="D34" s="518"/>
      <c r="E34" s="518"/>
      <c r="F34" s="519" t="str">
        <f t="shared" si="1"/>
        <v/>
      </c>
      <c r="G34" s="10"/>
      <c r="H34" s="1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c r="A35" s="539"/>
      <c r="B35" s="273" t="str">
        <f t="shared" si="0"/>
        <v/>
      </c>
      <c r="C35" s="518"/>
      <c r="D35" s="518"/>
      <c r="E35" s="518"/>
      <c r="F35" s="519" t="str">
        <f t="shared" si="1"/>
        <v/>
      </c>
      <c r="G35" s="10"/>
      <c r="H35" s="1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ht="13.5" thickBot="1">
      <c r="A36" s="540"/>
      <c r="B36" s="520" t="str">
        <f t="shared" si="0"/>
        <v/>
      </c>
      <c r="C36" s="521"/>
      <c r="D36" s="521"/>
      <c r="E36" s="521"/>
      <c r="F36" s="522" t="str">
        <f t="shared" si="1"/>
        <v/>
      </c>
      <c r="G36" s="10"/>
      <c r="H36" s="1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15"/>
      <c r="B37" s="10"/>
      <c r="C37" s="10"/>
      <c r="D37" s="10"/>
      <c r="E37" s="10"/>
      <c r="F37" s="10"/>
      <c r="G37" s="10"/>
      <c r="H37" s="1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13" t="s">
        <v>1129</v>
      </c>
      <c r="B38" s="13"/>
      <c r="C38" s="10"/>
      <c r="D38" s="10"/>
      <c r="E38" s="10"/>
      <c r="F38" s="10"/>
      <c r="G38" s="10"/>
      <c r="H38" s="1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c r="A39" s="101" t="s">
        <v>750</v>
      </c>
      <c r="B39" s="14"/>
      <c r="C39" s="14"/>
      <c r="D39" s="10"/>
      <c r="E39" s="10"/>
      <c r="F39" s="10"/>
      <c r="G39" s="10"/>
      <c r="H39" s="1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101" t="s">
        <v>84</v>
      </c>
      <c r="B40" s="16"/>
      <c r="C40" s="10"/>
      <c r="D40" s="10"/>
      <c r="E40" s="10"/>
      <c r="F40" s="10"/>
      <c r="G40" s="10"/>
      <c r="H40" s="1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101" t="s">
        <v>814</v>
      </c>
      <c r="B41" s="16"/>
      <c r="C41" s="10"/>
      <c r="D41" s="10"/>
      <c r="E41" s="10"/>
      <c r="F41" s="10"/>
      <c r="G41" s="10"/>
      <c r="H41" s="1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14" t="s">
        <v>1128</v>
      </c>
      <c r="B42" s="16"/>
      <c r="C42" s="10"/>
      <c r="D42" s="10"/>
      <c r="E42" s="10"/>
      <c r="F42" s="10"/>
      <c r="G42" s="10"/>
      <c r="H42" s="1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101" t="s">
        <v>2</v>
      </c>
      <c r="B43" s="16"/>
      <c r="C43" s="10"/>
      <c r="D43" s="10"/>
      <c r="E43" s="10"/>
      <c r="F43" s="10"/>
      <c r="G43" s="10"/>
      <c r="H43" s="1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c r="A44" s="101" t="s">
        <v>85</v>
      </c>
      <c r="B44" s="16"/>
      <c r="C44" s="10"/>
      <c r="D44" s="10"/>
      <c r="E44" s="10"/>
      <c r="F44" s="10"/>
      <c r="G44" s="10"/>
      <c r="H44" s="1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c r="A45" s="10"/>
      <c r="B45" s="10"/>
      <c r="C45" s="10"/>
      <c r="D45" s="10"/>
      <c r="E45" s="10"/>
      <c r="F45" s="10"/>
      <c r="G45" s="10"/>
      <c r="H45" s="10"/>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ht="15" thickBot="1">
      <c r="A46" s="13" t="s">
        <v>1365</v>
      </c>
      <c r="B46" s="10"/>
      <c r="C46" s="10"/>
      <c r="D46" s="10"/>
      <c r="E46" s="10"/>
      <c r="F46" s="10"/>
      <c r="G46" s="10"/>
      <c r="H46" s="1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ht="14.25">
      <c r="A47" s="20" t="s">
        <v>31</v>
      </c>
      <c r="B47" s="21" t="s">
        <v>31</v>
      </c>
      <c r="C47" s="1231" t="s">
        <v>117</v>
      </c>
      <c r="D47" s="1232"/>
      <c r="E47" s="115" t="s">
        <v>118</v>
      </c>
      <c r="F47" s="1231" t="s">
        <v>119</v>
      </c>
      <c r="G47" s="1232"/>
      <c r="H47" s="22" t="s">
        <v>466</v>
      </c>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39"/>
      <c r="B48" s="28" t="s">
        <v>137</v>
      </c>
      <c r="C48" s="116" t="s">
        <v>86</v>
      </c>
      <c r="D48" s="116" t="s">
        <v>114</v>
      </c>
      <c r="E48" s="116" t="s">
        <v>87</v>
      </c>
      <c r="F48" s="116" t="s">
        <v>114</v>
      </c>
      <c r="G48" s="116" t="s">
        <v>120</v>
      </c>
      <c r="H48" s="29" t="s">
        <v>184</v>
      </c>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ht="13.5" thickBot="1">
      <c r="A49" s="23"/>
      <c r="B49" s="24"/>
      <c r="C49" s="24" t="s">
        <v>198</v>
      </c>
      <c r="D49" s="24" t="s">
        <v>198</v>
      </c>
      <c r="E49" s="24" t="s">
        <v>198</v>
      </c>
      <c r="F49" s="24" t="s">
        <v>198</v>
      </c>
      <c r="G49" s="24" t="s">
        <v>198</v>
      </c>
      <c r="H49" s="25" t="s">
        <v>198</v>
      </c>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602"/>
      <c r="B50" s="113" t="str">
        <f>IF(A50="","",VLOOKUP(A50,GWP,2,FALSE))</f>
        <v/>
      </c>
      <c r="C50" s="124"/>
      <c r="D50" s="124"/>
      <c r="E50" s="124"/>
      <c r="F50" s="124"/>
      <c r="G50" s="124"/>
      <c r="H50" s="145" t="str">
        <f>IF(B50="","",IF(($C50-$D50+$E50+$F50-$G50)*$B50&lt;0,0,($C50-$D50+$E50+$F50-$G50)*$B50))</f>
        <v/>
      </c>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603"/>
      <c r="B51" s="179" t="str">
        <f t="shared" ref="B51:B60" si="2">IF(A51="","",VLOOKUP(A51,GWP,2,FALSE))</f>
        <v/>
      </c>
      <c r="C51" s="125"/>
      <c r="D51" s="125"/>
      <c r="E51" s="125"/>
      <c r="F51" s="125"/>
      <c r="G51" s="125"/>
      <c r="H51" s="146" t="str">
        <f t="shared" ref="H51:H60" si="3">IF(B51="","",IF(($C51-$D51+$E51+$F51-$G51)*$B51&lt;0,0,($C51-$D51+$E51+$F51-$G51)*$B51))</f>
        <v/>
      </c>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603"/>
      <c r="B52" s="179" t="str">
        <f t="shared" si="2"/>
        <v/>
      </c>
      <c r="C52" s="125"/>
      <c r="D52" s="125"/>
      <c r="E52" s="125"/>
      <c r="F52" s="125"/>
      <c r="G52" s="125"/>
      <c r="H52" s="146" t="str">
        <f t="shared" si="3"/>
        <v/>
      </c>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603"/>
      <c r="B53" s="179" t="str">
        <f t="shared" si="2"/>
        <v/>
      </c>
      <c r="C53" s="125"/>
      <c r="D53" s="125"/>
      <c r="E53" s="125"/>
      <c r="F53" s="125"/>
      <c r="G53" s="125"/>
      <c r="H53" s="146" t="str">
        <f t="shared" si="3"/>
        <v/>
      </c>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603"/>
      <c r="B54" s="179" t="str">
        <f t="shared" si="2"/>
        <v/>
      </c>
      <c r="C54" s="125"/>
      <c r="D54" s="125"/>
      <c r="E54" s="125"/>
      <c r="F54" s="125"/>
      <c r="G54" s="125"/>
      <c r="H54" s="146" t="str">
        <f t="shared" si="3"/>
        <v/>
      </c>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603"/>
      <c r="B55" s="179" t="str">
        <f t="shared" si="2"/>
        <v/>
      </c>
      <c r="C55" s="125"/>
      <c r="D55" s="125"/>
      <c r="E55" s="125"/>
      <c r="F55" s="125"/>
      <c r="G55" s="125"/>
      <c r="H55" s="146" t="str">
        <f t="shared" si="3"/>
        <v/>
      </c>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603"/>
      <c r="B56" s="179" t="str">
        <f t="shared" si="2"/>
        <v/>
      </c>
      <c r="C56" s="125"/>
      <c r="D56" s="125"/>
      <c r="E56" s="125"/>
      <c r="F56" s="125"/>
      <c r="G56" s="125"/>
      <c r="H56" s="146" t="str">
        <f t="shared" si="3"/>
        <v/>
      </c>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603"/>
      <c r="B57" s="179" t="str">
        <f t="shared" si="2"/>
        <v/>
      </c>
      <c r="C57" s="125"/>
      <c r="D57" s="125"/>
      <c r="E57" s="125"/>
      <c r="F57" s="125"/>
      <c r="G57" s="125"/>
      <c r="H57" s="146" t="str">
        <f t="shared" si="3"/>
        <v/>
      </c>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603"/>
      <c r="B58" s="273" t="str">
        <f t="shared" si="2"/>
        <v/>
      </c>
      <c r="C58" s="125"/>
      <c r="D58" s="125"/>
      <c r="E58" s="125"/>
      <c r="F58" s="125"/>
      <c r="G58" s="125"/>
      <c r="H58" s="146" t="str">
        <f t="shared" si="3"/>
        <v/>
      </c>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603"/>
      <c r="B59" s="179" t="str">
        <f t="shared" si="2"/>
        <v/>
      </c>
      <c r="C59" s="125"/>
      <c r="D59" s="125"/>
      <c r="E59" s="125"/>
      <c r="F59" s="125"/>
      <c r="G59" s="125"/>
      <c r="H59" s="146" t="str">
        <f t="shared" si="3"/>
        <v/>
      </c>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ht="13.5" thickBot="1">
      <c r="A60" s="604"/>
      <c r="B60" s="193" t="str">
        <f t="shared" si="2"/>
        <v/>
      </c>
      <c r="C60" s="126"/>
      <c r="D60" s="126"/>
      <c r="E60" s="126"/>
      <c r="F60" s="126"/>
      <c r="G60" s="126"/>
      <c r="H60" s="147" t="str">
        <f t="shared" si="3"/>
        <v/>
      </c>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78"/>
      <c r="B61" s="78"/>
      <c r="C61" s="96"/>
      <c r="D61" s="96"/>
      <c r="E61" s="96"/>
      <c r="F61" s="96"/>
      <c r="G61" s="96"/>
      <c r="H61" s="106"/>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13" t="s">
        <v>372</v>
      </c>
      <c r="B62" s="10"/>
      <c r="C62" s="10"/>
      <c r="D62" s="10"/>
      <c r="E62" s="10"/>
      <c r="F62" s="10"/>
      <c r="G62" s="10"/>
      <c r="H62" s="1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101" t="s">
        <v>1</v>
      </c>
      <c r="B63" s="14"/>
      <c r="C63" s="14"/>
      <c r="D63" s="14"/>
      <c r="E63" s="14"/>
      <c r="F63" s="14"/>
      <c r="G63" s="14"/>
      <c r="H63" s="14"/>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101" t="s">
        <v>1150</v>
      </c>
      <c r="B64" s="14"/>
      <c r="C64" s="14"/>
      <c r="D64" s="14"/>
      <c r="E64" s="14"/>
      <c r="F64" s="14"/>
      <c r="G64" s="14"/>
      <c r="H64" s="14"/>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101" t="s">
        <v>722</v>
      </c>
      <c r="B65" s="14"/>
      <c r="C65" s="14"/>
      <c r="D65" s="14"/>
      <c r="E65" s="14"/>
      <c r="F65" s="14"/>
      <c r="G65" s="14"/>
      <c r="H65" s="14"/>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ht="39" customHeight="1">
      <c r="A66" s="1196" t="s">
        <v>669</v>
      </c>
      <c r="B66" s="1196"/>
      <c r="C66" s="1196"/>
      <c r="D66" s="1196"/>
      <c r="E66" s="1196"/>
      <c r="F66" s="1196"/>
      <c r="G66" s="1196"/>
      <c r="H66" s="1196"/>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101" t="s">
        <v>373</v>
      </c>
      <c r="B67" s="14"/>
      <c r="C67" s="14"/>
      <c r="D67" s="14"/>
      <c r="E67" s="14"/>
      <c r="F67" s="14"/>
      <c r="G67" s="14"/>
      <c r="H67" s="14"/>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1196" t="s">
        <v>682</v>
      </c>
      <c r="B68" s="1196"/>
      <c r="C68" s="1196"/>
      <c r="D68" s="1196"/>
      <c r="E68" s="1196"/>
      <c r="F68" s="1196"/>
      <c r="G68" s="1196"/>
      <c r="H68" s="1196"/>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101" t="s">
        <v>765</v>
      </c>
      <c r="B69" s="14"/>
      <c r="C69" s="14"/>
      <c r="D69" s="14"/>
      <c r="E69" s="14"/>
      <c r="F69" s="14"/>
      <c r="G69" s="14"/>
      <c r="H69" s="14"/>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78"/>
      <c r="B70" s="78"/>
      <c r="C70" s="10"/>
      <c r="D70" s="10"/>
      <c r="E70" s="10"/>
      <c r="F70" s="10"/>
      <c r="G70" s="10"/>
      <c r="H70" s="1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ht="15" thickBot="1">
      <c r="A71" s="13" t="s">
        <v>102</v>
      </c>
      <c r="B71" s="78"/>
      <c r="C71" s="10"/>
      <c r="D71" s="10"/>
      <c r="E71" s="10"/>
      <c r="F71" s="10"/>
      <c r="G71" s="10"/>
      <c r="H71" s="1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ht="14.25">
      <c r="A72" s="1233" t="s">
        <v>337</v>
      </c>
      <c r="B72" s="1223" t="s">
        <v>147</v>
      </c>
      <c r="C72" s="1223" t="s">
        <v>31</v>
      </c>
      <c r="D72" s="1237" t="s">
        <v>760</v>
      </c>
      <c r="E72" s="21" t="s">
        <v>117</v>
      </c>
      <c r="F72" s="1231" t="s">
        <v>114</v>
      </c>
      <c r="G72" s="1232"/>
      <c r="H72" s="22" t="s">
        <v>101</v>
      </c>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1234"/>
      <c r="B73" s="1236"/>
      <c r="C73" s="1236"/>
      <c r="D73" s="1236"/>
      <c r="E73" s="28" t="s">
        <v>86</v>
      </c>
      <c r="F73" s="116" t="s">
        <v>18</v>
      </c>
      <c r="G73" s="116" t="s">
        <v>121</v>
      </c>
      <c r="H73" s="29" t="s">
        <v>465</v>
      </c>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1234"/>
      <c r="B74" s="1236"/>
      <c r="C74" s="1236"/>
      <c r="D74" s="1236"/>
      <c r="E74" s="28" t="s">
        <v>185</v>
      </c>
      <c r="F74" s="28" t="s">
        <v>169</v>
      </c>
      <c r="G74" s="28" t="s">
        <v>169</v>
      </c>
      <c r="H74" s="29" t="s">
        <v>184</v>
      </c>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ht="13.5" thickBot="1">
      <c r="A75" s="1235"/>
      <c r="B75" s="1224"/>
      <c r="C75" s="1224"/>
      <c r="D75" s="1224"/>
      <c r="E75" s="24"/>
      <c r="F75" s="24" t="s">
        <v>185</v>
      </c>
      <c r="G75" s="24" t="s">
        <v>185</v>
      </c>
      <c r="H75" s="25" t="s">
        <v>185</v>
      </c>
      <c r="I75" s="230"/>
      <c r="J75" s="230"/>
      <c r="K75" s="230"/>
      <c r="L75" s="230"/>
      <c r="M75" s="230"/>
      <c r="N75" s="230"/>
      <c r="O75" s="230"/>
      <c r="P75" s="230"/>
      <c r="Q75" s="229" t="s">
        <v>20</v>
      </c>
      <c r="R75" s="230"/>
      <c r="S75" s="230"/>
      <c r="T75" s="230"/>
      <c r="U75" s="230"/>
      <c r="V75" s="230"/>
      <c r="W75" s="230"/>
      <c r="X75" s="230"/>
      <c r="Y75" s="230"/>
      <c r="Z75" s="230"/>
      <c r="AA75" s="230"/>
      <c r="AB75" s="230"/>
      <c r="AC75" s="230"/>
      <c r="AD75" s="230"/>
    </row>
    <row r="76" spans="1:30">
      <c r="A76" s="647" t="s">
        <v>19</v>
      </c>
      <c r="B76" s="648" t="s">
        <v>122</v>
      </c>
      <c r="C76" s="649" t="s">
        <v>245</v>
      </c>
      <c r="D76" s="643" t="str">
        <f>IF(ISNA(VLOOKUP($C76,$A$50:$B$60,2,FALSE)),"", VLOOKUP($C76,$A$50:$B$60,2,FALSE))</f>
        <v/>
      </c>
      <c r="E76" s="642">
        <v>0</v>
      </c>
      <c r="F76" s="642">
        <f>0.5</f>
        <v>0.5</v>
      </c>
      <c r="G76" s="642">
        <v>0.25</v>
      </c>
      <c r="H76" s="650">
        <v>213.85</v>
      </c>
      <c r="I76" s="230"/>
      <c r="J76" s="230"/>
      <c r="K76" s="230"/>
      <c r="L76" s="230"/>
      <c r="M76" s="230"/>
      <c r="N76" s="230"/>
      <c r="O76" s="230"/>
      <c r="P76" s="230"/>
      <c r="Q76" s="471" t="s">
        <v>122</v>
      </c>
      <c r="R76" s="471" t="s">
        <v>92</v>
      </c>
      <c r="S76" s="471" t="s">
        <v>88</v>
      </c>
      <c r="T76" s="471" t="s">
        <v>123</v>
      </c>
      <c r="U76" s="471" t="s">
        <v>124</v>
      </c>
      <c r="V76" s="471" t="s">
        <v>125</v>
      </c>
      <c r="W76" s="471" t="s">
        <v>91</v>
      </c>
      <c r="X76" s="471" t="s">
        <v>90</v>
      </c>
      <c r="Y76" s="471" t="s">
        <v>89</v>
      </c>
      <c r="Z76" s="230"/>
      <c r="AA76" s="230"/>
      <c r="AB76" s="230"/>
      <c r="AC76" s="230"/>
      <c r="AD76" s="230"/>
    </row>
    <row r="77" spans="1:30">
      <c r="A77" s="1116" t="s">
        <v>1396</v>
      </c>
      <c r="B77" s="240" t="s">
        <v>122</v>
      </c>
      <c r="C77" s="240"/>
      <c r="D77" s="206" t="str">
        <f t="shared" ref="D77:D114" si="4">IF(ISNA(VLOOKUP($C77,GWP,2,FALSE)),"", VLOOKUP($C77,GWP,2,FALSE))</f>
        <v/>
      </c>
      <c r="E77" s="249"/>
      <c r="F77" s="249"/>
      <c r="G77" s="249"/>
      <c r="H77" s="243" t="str">
        <f>IF($D77="","",SUM($Q77:$Y77))</f>
        <v/>
      </c>
      <c r="I77" s="230"/>
      <c r="J77" s="230"/>
      <c r="K77" s="230"/>
      <c r="L77" s="230"/>
      <c r="M77" s="230"/>
      <c r="N77" s="230"/>
      <c r="O77" s="230"/>
      <c r="P77" s="230"/>
      <c r="Q77" s="468" t="e">
        <f>IF($B77=Q76,(($E77*(1/100)+$F77*(0.5/100)+$G77*(80/100)*(1-70/100))*$D77),0)</f>
        <v>#VALUE!</v>
      </c>
      <c r="R77" s="468">
        <f>IF($B77="Stand-Alone Commercial",(($E77*(3/100)+$F77*(15/100)+$G77*(80/100)*(1-70/100))*$D77),0)</f>
        <v>0</v>
      </c>
      <c r="S77" s="468">
        <f>IF($B77="Medium/Large Commercial",(($E77*(3/100)+$F77*(35/100)+$G77*(100/100)*(1-70/100))*$D77),0)</f>
        <v>0</v>
      </c>
      <c r="T77" s="468">
        <f>IF($B77="Transport Refrigeration",(($E77*(1/100)+$F77*(50/100)+$G77*(50/100)*(1-70/100))*$D77),0)</f>
        <v>0</v>
      </c>
      <c r="U77" s="468">
        <f>IF($B77="Industrial Refrigeration",(($E77*(3/100)+$F77*(25/100)+$G77*(100/100)*(1-90/100))*$D77),0)</f>
        <v>0</v>
      </c>
      <c r="V77" s="468">
        <f>IF($B77="Chillers",(($E77*(1/100)+$F77*(15/100)+$G77*(100/100)*(1-95/100))*$D77),0)</f>
        <v>0</v>
      </c>
      <c r="W77" s="468">
        <f>IF($B77="Residential/Commercial A/C",(($E77*(1/100)+$F77*(10/100)+$G77*(80/100)*(1-80/100))*$D77),0)</f>
        <v>0</v>
      </c>
      <c r="X77" s="468">
        <f>IF($B77="Car A/C Units",(($E77*(0.5/100)+$F77*(20/100)+$G77*(50/100)*(1-50/100))*$D77),0)</f>
        <v>0</v>
      </c>
      <c r="Y77" s="468">
        <f>IF($B77="Light-Duty Truck A/C Units",(($E77*(0.5/100)+$F77*(20/100)+$G77*(50/100)*(1-50/100))*$D77),0)</f>
        <v>0</v>
      </c>
      <c r="Z77" s="230"/>
      <c r="AA77" s="230"/>
      <c r="AB77" s="230"/>
      <c r="AC77" s="230"/>
      <c r="AD77" s="230"/>
    </row>
    <row r="78" spans="1:30">
      <c r="A78" s="133"/>
      <c r="B78" s="240"/>
      <c r="C78" s="240"/>
      <c r="D78" s="206" t="str">
        <f t="shared" si="4"/>
        <v/>
      </c>
      <c r="E78" s="125"/>
      <c r="F78" s="125"/>
      <c r="G78" s="125"/>
      <c r="H78" s="146" t="str">
        <f t="shared" ref="H78:H114" si="5">IF($D78="","",SUM($Q78:$Y78))</f>
        <v/>
      </c>
      <c r="I78" s="230"/>
      <c r="J78" s="230"/>
      <c r="K78" s="230"/>
      <c r="L78" s="230"/>
      <c r="M78" s="230"/>
      <c r="N78" s="230"/>
      <c r="O78" s="230"/>
      <c r="P78" s="230"/>
      <c r="Q78" s="468">
        <f t="shared" ref="Q78:Q114" si="6">IF($B78="Domestic Refrigeration",(($E78*(1/100)+$F78*(0.5/100)+$G78*(80/100)*(1-70/100))*$D78),0)</f>
        <v>0</v>
      </c>
      <c r="R78" s="468">
        <f t="shared" ref="R78:R114" si="7">IF($B78="Stand-Alone Commercial",(($E78*(3/100)+$F78*(15/100)+$G78*(80/100)*(1-70/100))*$D78),0)</f>
        <v>0</v>
      </c>
      <c r="S78" s="468">
        <f t="shared" ref="S78:S114" si="8">IF($B78="Medium/Large Commercial",(($E78*(3/100)+$F78*(35/100)+$G78*(100/100)*(1-70/100))*$D78),0)</f>
        <v>0</v>
      </c>
      <c r="T78" s="468">
        <f t="shared" ref="T78:T114" si="9">IF($B78="Transport Refrigeration",(($E78*(1/100)+$F78*(50/100)+$G78*(50/100)*(1-70/100))*$D78),0)</f>
        <v>0</v>
      </c>
      <c r="U78" s="468">
        <f t="shared" ref="U78:U114" si="10">IF($B78="Industrial Refrigeration",(($E78*(3/100)+$F78*(25/100)+$G78*(100/100)*(1-90/100))*$D78),0)</f>
        <v>0</v>
      </c>
      <c r="V78" s="468">
        <f t="shared" ref="V78:V114" si="11">IF($B78="Chillers",(($E78*(1/100)+$F78*(15/100)+$G78*(100/100)*(1-95/100))*$D78),0)</f>
        <v>0</v>
      </c>
      <c r="W78" s="468">
        <f t="shared" ref="W78:W114" si="12">IF($B78="Residential/Commercial A/C",(($E78*(1/100)+$F78*(10/100)+$G78*(80/100)*(1-80/100))*$D78),0)</f>
        <v>0</v>
      </c>
      <c r="X78" s="468">
        <f t="shared" ref="X78:X114" si="13">IF($B78="Car A/C Units",(($E78*(0.5/100)+$F78*(20/100)+$G78*(50/100)*(1-50/100))*$D78),0)</f>
        <v>0</v>
      </c>
      <c r="Y78" s="468">
        <f t="shared" ref="Y78:Y114" si="14">IF($B78="Light-Duty Truck A/C Units",(($E78*(0.5/100)+$F78*(20/100)+$G78*(50/100)*(1-50/100))*$D78),0)</f>
        <v>0</v>
      </c>
      <c r="Z78" s="230"/>
      <c r="AA78" s="230"/>
      <c r="AB78" s="230"/>
      <c r="AC78" s="230"/>
      <c r="AD78" s="230"/>
    </row>
    <row r="79" spans="1:30">
      <c r="A79" s="133"/>
      <c r="B79" s="240"/>
      <c r="C79" s="240"/>
      <c r="D79" s="206" t="str">
        <f t="shared" si="4"/>
        <v/>
      </c>
      <c r="E79" s="125"/>
      <c r="F79" s="125"/>
      <c r="G79" s="125"/>
      <c r="H79" s="146" t="str">
        <f t="shared" si="5"/>
        <v/>
      </c>
      <c r="I79" s="230"/>
      <c r="J79" s="230"/>
      <c r="K79" s="230"/>
      <c r="L79" s="230"/>
      <c r="M79" s="230"/>
      <c r="N79" s="230"/>
      <c r="O79" s="230"/>
      <c r="P79" s="230"/>
      <c r="Q79" s="468">
        <f t="shared" si="6"/>
        <v>0</v>
      </c>
      <c r="R79" s="468">
        <f t="shared" si="7"/>
        <v>0</v>
      </c>
      <c r="S79" s="468">
        <f t="shared" si="8"/>
        <v>0</v>
      </c>
      <c r="T79" s="468">
        <f t="shared" si="9"/>
        <v>0</v>
      </c>
      <c r="U79" s="468">
        <f t="shared" si="10"/>
        <v>0</v>
      </c>
      <c r="V79" s="468">
        <f t="shared" si="11"/>
        <v>0</v>
      </c>
      <c r="W79" s="468">
        <f t="shared" si="12"/>
        <v>0</v>
      </c>
      <c r="X79" s="468">
        <f t="shared" si="13"/>
        <v>0</v>
      </c>
      <c r="Y79" s="468">
        <f t="shared" si="14"/>
        <v>0</v>
      </c>
      <c r="Z79" s="230"/>
      <c r="AA79" s="230"/>
      <c r="AB79" s="230"/>
      <c r="AC79" s="230"/>
      <c r="AD79" s="230"/>
    </row>
    <row r="80" spans="1:30">
      <c r="A80" s="133"/>
      <c r="B80" s="240"/>
      <c r="C80" s="240"/>
      <c r="D80" s="206" t="str">
        <f t="shared" si="4"/>
        <v/>
      </c>
      <c r="E80" s="125"/>
      <c r="F80" s="125"/>
      <c r="G80" s="125"/>
      <c r="H80" s="146" t="str">
        <f t="shared" si="5"/>
        <v/>
      </c>
      <c r="I80" s="230"/>
      <c r="J80" s="230"/>
      <c r="K80" s="230"/>
      <c r="L80" s="230"/>
      <c r="M80" s="230"/>
      <c r="N80" s="230"/>
      <c r="O80" s="230"/>
      <c r="P80" s="230"/>
      <c r="Q80" s="468">
        <f t="shared" si="6"/>
        <v>0</v>
      </c>
      <c r="R80" s="468">
        <f t="shared" si="7"/>
        <v>0</v>
      </c>
      <c r="S80" s="468">
        <f t="shared" si="8"/>
        <v>0</v>
      </c>
      <c r="T80" s="468">
        <f t="shared" si="9"/>
        <v>0</v>
      </c>
      <c r="U80" s="468">
        <f t="shared" si="10"/>
        <v>0</v>
      </c>
      <c r="V80" s="468">
        <f t="shared" si="11"/>
        <v>0</v>
      </c>
      <c r="W80" s="468">
        <f t="shared" si="12"/>
        <v>0</v>
      </c>
      <c r="X80" s="468">
        <f t="shared" si="13"/>
        <v>0</v>
      </c>
      <c r="Y80" s="468">
        <f t="shared" si="14"/>
        <v>0</v>
      </c>
      <c r="Z80" s="230"/>
      <c r="AA80" s="230"/>
      <c r="AB80" s="230"/>
      <c r="AC80" s="230"/>
      <c r="AD80" s="230"/>
    </row>
    <row r="81" spans="1:30">
      <c r="A81" s="133"/>
      <c r="B81" s="240"/>
      <c r="C81" s="240"/>
      <c r="D81" s="206" t="str">
        <f t="shared" si="4"/>
        <v/>
      </c>
      <c r="E81" s="125"/>
      <c r="F81" s="125"/>
      <c r="G81" s="125"/>
      <c r="H81" s="146" t="str">
        <f t="shared" si="5"/>
        <v/>
      </c>
      <c r="I81" s="230"/>
      <c r="J81" s="230"/>
      <c r="K81" s="230"/>
      <c r="L81" s="230"/>
      <c r="M81" s="230"/>
      <c r="N81" s="230"/>
      <c r="O81" s="230"/>
      <c r="P81" s="230"/>
      <c r="Q81" s="468">
        <f t="shared" si="6"/>
        <v>0</v>
      </c>
      <c r="R81" s="468">
        <f t="shared" si="7"/>
        <v>0</v>
      </c>
      <c r="S81" s="468">
        <f t="shared" si="8"/>
        <v>0</v>
      </c>
      <c r="T81" s="468">
        <f t="shared" si="9"/>
        <v>0</v>
      </c>
      <c r="U81" s="468">
        <f t="shared" si="10"/>
        <v>0</v>
      </c>
      <c r="V81" s="468">
        <f t="shared" si="11"/>
        <v>0</v>
      </c>
      <c r="W81" s="468">
        <f t="shared" si="12"/>
        <v>0</v>
      </c>
      <c r="X81" s="468">
        <f t="shared" si="13"/>
        <v>0</v>
      </c>
      <c r="Y81" s="468">
        <f t="shared" si="14"/>
        <v>0</v>
      </c>
      <c r="Z81" s="230"/>
      <c r="AA81" s="230"/>
      <c r="AB81" s="230"/>
      <c r="AC81" s="230"/>
      <c r="AD81" s="230"/>
    </row>
    <row r="82" spans="1:30">
      <c r="A82" s="133"/>
      <c r="B82" s="240"/>
      <c r="C82" s="240"/>
      <c r="D82" s="206" t="str">
        <f t="shared" si="4"/>
        <v/>
      </c>
      <c r="E82" s="125"/>
      <c r="F82" s="125"/>
      <c r="G82" s="125"/>
      <c r="H82" s="146" t="str">
        <f t="shared" si="5"/>
        <v/>
      </c>
      <c r="I82" s="230"/>
      <c r="J82" s="230"/>
      <c r="K82" s="230"/>
      <c r="L82" s="230"/>
      <c r="M82" s="230"/>
      <c r="N82" s="230"/>
      <c r="O82" s="230"/>
      <c r="P82" s="230"/>
      <c r="Q82" s="468">
        <f t="shared" si="6"/>
        <v>0</v>
      </c>
      <c r="R82" s="468">
        <f t="shared" si="7"/>
        <v>0</v>
      </c>
      <c r="S82" s="468">
        <f t="shared" si="8"/>
        <v>0</v>
      </c>
      <c r="T82" s="468">
        <f t="shared" si="9"/>
        <v>0</v>
      </c>
      <c r="U82" s="468">
        <f t="shared" si="10"/>
        <v>0</v>
      </c>
      <c r="V82" s="468">
        <f t="shared" si="11"/>
        <v>0</v>
      </c>
      <c r="W82" s="468">
        <f t="shared" si="12"/>
        <v>0</v>
      </c>
      <c r="X82" s="468">
        <f t="shared" si="13"/>
        <v>0</v>
      </c>
      <c r="Y82" s="468">
        <f t="shared" si="14"/>
        <v>0</v>
      </c>
      <c r="Z82" s="230"/>
      <c r="AA82" s="230"/>
      <c r="AB82" s="230"/>
      <c r="AC82" s="230"/>
      <c r="AD82" s="230"/>
    </row>
    <row r="83" spans="1:30">
      <c r="A83" s="133"/>
      <c r="B83" s="240"/>
      <c r="C83" s="240"/>
      <c r="D83" s="206" t="str">
        <f t="shared" si="4"/>
        <v/>
      </c>
      <c r="E83" s="125"/>
      <c r="F83" s="125"/>
      <c r="G83" s="125"/>
      <c r="H83" s="146" t="str">
        <f t="shared" si="5"/>
        <v/>
      </c>
      <c r="I83" s="230"/>
      <c r="J83" s="230"/>
      <c r="K83" s="230"/>
      <c r="L83" s="230"/>
      <c r="M83" s="230"/>
      <c r="N83" s="230"/>
      <c r="O83" s="230"/>
      <c r="P83" s="230"/>
      <c r="Q83" s="468">
        <f t="shared" si="6"/>
        <v>0</v>
      </c>
      <c r="R83" s="468">
        <f t="shared" si="7"/>
        <v>0</v>
      </c>
      <c r="S83" s="468">
        <f t="shared" si="8"/>
        <v>0</v>
      </c>
      <c r="T83" s="468">
        <f t="shared" si="9"/>
        <v>0</v>
      </c>
      <c r="U83" s="468">
        <f t="shared" si="10"/>
        <v>0</v>
      </c>
      <c r="V83" s="468">
        <f t="shared" si="11"/>
        <v>0</v>
      </c>
      <c r="W83" s="468">
        <f t="shared" si="12"/>
        <v>0</v>
      </c>
      <c r="X83" s="468">
        <f t="shared" si="13"/>
        <v>0</v>
      </c>
      <c r="Y83" s="468">
        <f t="shared" si="14"/>
        <v>0</v>
      </c>
      <c r="Z83" s="230"/>
      <c r="AA83" s="230"/>
      <c r="AB83" s="230"/>
      <c r="AC83" s="230"/>
      <c r="AD83" s="230"/>
    </row>
    <row r="84" spans="1:30">
      <c r="A84" s="133"/>
      <c r="B84" s="240"/>
      <c r="C84" s="240"/>
      <c r="D84" s="206" t="str">
        <f t="shared" si="4"/>
        <v/>
      </c>
      <c r="E84" s="125"/>
      <c r="F84" s="125"/>
      <c r="G84" s="125"/>
      <c r="H84" s="146" t="str">
        <f t="shared" si="5"/>
        <v/>
      </c>
      <c r="I84" s="230"/>
      <c r="J84" s="230"/>
      <c r="K84" s="230"/>
      <c r="L84" s="230"/>
      <c r="M84" s="230"/>
      <c r="N84" s="230"/>
      <c r="O84" s="230"/>
      <c r="P84" s="230"/>
      <c r="Q84" s="468">
        <f t="shared" si="6"/>
        <v>0</v>
      </c>
      <c r="R84" s="468">
        <f t="shared" si="7"/>
        <v>0</v>
      </c>
      <c r="S84" s="468">
        <f t="shared" si="8"/>
        <v>0</v>
      </c>
      <c r="T84" s="468">
        <f t="shared" si="9"/>
        <v>0</v>
      </c>
      <c r="U84" s="468">
        <f t="shared" si="10"/>
        <v>0</v>
      </c>
      <c r="V84" s="468">
        <f t="shared" si="11"/>
        <v>0</v>
      </c>
      <c r="W84" s="468">
        <f t="shared" si="12"/>
        <v>0</v>
      </c>
      <c r="X84" s="468">
        <f t="shared" si="13"/>
        <v>0</v>
      </c>
      <c r="Y84" s="468">
        <f t="shared" si="14"/>
        <v>0</v>
      </c>
      <c r="Z84" s="230"/>
      <c r="AA84" s="230"/>
      <c r="AB84" s="230"/>
      <c r="AC84" s="230"/>
      <c r="AD84" s="230"/>
    </row>
    <row r="85" spans="1:30">
      <c r="A85" s="133"/>
      <c r="B85" s="240"/>
      <c r="C85" s="240"/>
      <c r="D85" s="206" t="str">
        <f t="shared" si="4"/>
        <v/>
      </c>
      <c r="E85" s="125"/>
      <c r="F85" s="125"/>
      <c r="G85" s="125"/>
      <c r="H85" s="146" t="str">
        <f t="shared" si="5"/>
        <v/>
      </c>
      <c r="I85" s="230"/>
      <c r="J85" s="230"/>
      <c r="K85" s="230"/>
      <c r="L85" s="230"/>
      <c r="M85" s="230"/>
      <c r="N85" s="230"/>
      <c r="O85" s="230"/>
      <c r="P85" s="230"/>
      <c r="Q85" s="468">
        <f t="shared" si="6"/>
        <v>0</v>
      </c>
      <c r="R85" s="468">
        <f t="shared" si="7"/>
        <v>0</v>
      </c>
      <c r="S85" s="468">
        <f t="shared" si="8"/>
        <v>0</v>
      </c>
      <c r="T85" s="468">
        <f t="shared" si="9"/>
        <v>0</v>
      </c>
      <c r="U85" s="468">
        <f t="shared" si="10"/>
        <v>0</v>
      </c>
      <c r="V85" s="468">
        <f t="shared" si="11"/>
        <v>0</v>
      </c>
      <c r="W85" s="468">
        <f t="shared" si="12"/>
        <v>0</v>
      </c>
      <c r="X85" s="468">
        <f t="shared" si="13"/>
        <v>0</v>
      </c>
      <c r="Y85" s="468">
        <f t="shared" si="14"/>
        <v>0</v>
      </c>
      <c r="Z85" s="230"/>
      <c r="AA85" s="230"/>
      <c r="AB85" s="230"/>
      <c r="AC85" s="230"/>
      <c r="AD85" s="230"/>
    </row>
    <row r="86" spans="1:30">
      <c r="A86" s="133"/>
      <c r="B86" s="240"/>
      <c r="C86" s="240"/>
      <c r="D86" s="206" t="str">
        <f t="shared" si="4"/>
        <v/>
      </c>
      <c r="E86" s="125"/>
      <c r="F86" s="125"/>
      <c r="G86" s="125"/>
      <c r="H86" s="146" t="str">
        <f t="shared" si="5"/>
        <v/>
      </c>
      <c r="I86" s="230"/>
      <c r="J86" s="230"/>
      <c r="K86" s="230"/>
      <c r="L86" s="230"/>
      <c r="M86" s="230"/>
      <c r="N86" s="230"/>
      <c r="O86" s="230"/>
      <c r="P86" s="230"/>
      <c r="Q86" s="468">
        <f t="shared" si="6"/>
        <v>0</v>
      </c>
      <c r="R86" s="468">
        <f t="shared" si="7"/>
        <v>0</v>
      </c>
      <c r="S86" s="468">
        <f t="shared" si="8"/>
        <v>0</v>
      </c>
      <c r="T86" s="468">
        <f t="shared" si="9"/>
        <v>0</v>
      </c>
      <c r="U86" s="468">
        <f t="shared" si="10"/>
        <v>0</v>
      </c>
      <c r="V86" s="468">
        <f t="shared" si="11"/>
        <v>0</v>
      </c>
      <c r="W86" s="468">
        <f t="shared" si="12"/>
        <v>0</v>
      </c>
      <c r="X86" s="468">
        <f t="shared" si="13"/>
        <v>0</v>
      </c>
      <c r="Y86" s="468">
        <f t="shared" si="14"/>
        <v>0</v>
      </c>
      <c r="Z86" s="230"/>
      <c r="AA86" s="230"/>
      <c r="AB86" s="230"/>
      <c r="AC86" s="230"/>
      <c r="AD86" s="230"/>
    </row>
    <row r="87" spans="1:30">
      <c r="A87" s="133"/>
      <c r="B87" s="240"/>
      <c r="C87" s="240"/>
      <c r="D87" s="206" t="str">
        <f t="shared" si="4"/>
        <v/>
      </c>
      <c r="E87" s="125"/>
      <c r="F87" s="125"/>
      <c r="G87" s="125"/>
      <c r="H87" s="146" t="str">
        <f t="shared" si="5"/>
        <v/>
      </c>
      <c r="I87" s="230"/>
      <c r="J87" s="230"/>
      <c r="K87" s="230"/>
      <c r="L87" s="230"/>
      <c r="M87" s="230"/>
      <c r="N87" s="230"/>
      <c r="O87" s="230"/>
      <c r="P87" s="230"/>
      <c r="Q87" s="468">
        <f t="shared" si="6"/>
        <v>0</v>
      </c>
      <c r="R87" s="468">
        <f t="shared" si="7"/>
        <v>0</v>
      </c>
      <c r="S87" s="468">
        <f t="shared" si="8"/>
        <v>0</v>
      </c>
      <c r="T87" s="468">
        <f t="shared" si="9"/>
        <v>0</v>
      </c>
      <c r="U87" s="468">
        <f t="shared" si="10"/>
        <v>0</v>
      </c>
      <c r="V87" s="468">
        <f t="shared" si="11"/>
        <v>0</v>
      </c>
      <c r="W87" s="468">
        <f t="shared" si="12"/>
        <v>0</v>
      </c>
      <c r="X87" s="468">
        <f t="shared" si="13"/>
        <v>0</v>
      </c>
      <c r="Y87" s="468">
        <f t="shared" si="14"/>
        <v>0</v>
      </c>
      <c r="Z87" s="230"/>
      <c r="AA87" s="230"/>
      <c r="AB87" s="230"/>
      <c r="AC87" s="230"/>
      <c r="AD87" s="230"/>
    </row>
    <row r="88" spans="1:30">
      <c r="A88" s="133"/>
      <c r="B88" s="240"/>
      <c r="C88" s="240"/>
      <c r="D88" s="206" t="str">
        <f t="shared" si="4"/>
        <v/>
      </c>
      <c r="E88" s="125"/>
      <c r="F88" s="125"/>
      <c r="G88" s="125"/>
      <c r="H88" s="146" t="str">
        <f t="shared" si="5"/>
        <v/>
      </c>
      <c r="I88" s="230"/>
      <c r="J88" s="230"/>
      <c r="K88" s="230"/>
      <c r="L88" s="230"/>
      <c r="M88" s="230"/>
      <c r="N88" s="230"/>
      <c r="O88" s="230"/>
      <c r="P88" s="230"/>
      <c r="Q88" s="468">
        <f t="shared" si="6"/>
        <v>0</v>
      </c>
      <c r="R88" s="468">
        <f t="shared" si="7"/>
        <v>0</v>
      </c>
      <c r="S88" s="468">
        <f t="shared" si="8"/>
        <v>0</v>
      </c>
      <c r="T88" s="468">
        <f t="shared" si="9"/>
        <v>0</v>
      </c>
      <c r="U88" s="468">
        <f t="shared" si="10"/>
        <v>0</v>
      </c>
      <c r="V88" s="468">
        <f t="shared" si="11"/>
        <v>0</v>
      </c>
      <c r="W88" s="468">
        <f t="shared" si="12"/>
        <v>0</v>
      </c>
      <c r="X88" s="468">
        <f t="shared" si="13"/>
        <v>0</v>
      </c>
      <c r="Y88" s="468">
        <f t="shared" si="14"/>
        <v>0</v>
      </c>
      <c r="Z88" s="230"/>
      <c r="AA88" s="230"/>
      <c r="AB88" s="230"/>
      <c r="AC88" s="230"/>
      <c r="AD88" s="230"/>
    </row>
    <row r="89" spans="1:30">
      <c r="A89" s="133"/>
      <c r="B89" s="240"/>
      <c r="C89" s="240"/>
      <c r="D89" s="206" t="str">
        <f t="shared" si="4"/>
        <v/>
      </c>
      <c r="E89" s="125"/>
      <c r="F89" s="125"/>
      <c r="G89" s="125"/>
      <c r="H89" s="146" t="str">
        <f t="shared" si="5"/>
        <v/>
      </c>
      <c r="I89" s="230"/>
      <c r="J89" s="230"/>
      <c r="K89" s="230"/>
      <c r="L89" s="230"/>
      <c r="M89" s="230"/>
      <c r="N89" s="230"/>
      <c r="O89" s="230"/>
      <c r="P89" s="230"/>
      <c r="Q89" s="468">
        <f t="shared" si="6"/>
        <v>0</v>
      </c>
      <c r="R89" s="468">
        <f t="shared" si="7"/>
        <v>0</v>
      </c>
      <c r="S89" s="468">
        <f t="shared" si="8"/>
        <v>0</v>
      </c>
      <c r="T89" s="468">
        <f t="shared" si="9"/>
        <v>0</v>
      </c>
      <c r="U89" s="468">
        <f t="shared" si="10"/>
        <v>0</v>
      </c>
      <c r="V89" s="468">
        <f t="shared" si="11"/>
        <v>0</v>
      </c>
      <c r="W89" s="468">
        <f t="shared" si="12"/>
        <v>0</v>
      </c>
      <c r="X89" s="468">
        <f t="shared" si="13"/>
        <v>0</v>
      </c>
      <c r="Y89" s="468">
        <f t="shared" si="14"/>
        <v>0</v>
      </c>
      <c r="Z89" s="230"/>
      <c r="AA89" s="230"/>
      <c r="AB89" s="230"/>
      <c r="AC89" s="230"/>
      <c r="AD89" s="230"/>
    </row>
    <row r="90" spans="1:30">
      <c r="A90" s="133"/>
      <c r="B90" s="240"/>
      <c r="C90" s="240"/>
      <c r="D90" s="206" t="str">
        <f t="shared" si="4"/>
        <v/>
      </c>
      <c r="E90" s="125"/>
      <c r="F90" s="125"/>
      <c r="G90" s="125"/>
      <c r="H90" s="146" t="str">
        <f t="shared" si="5"/>
        <v/>
      </c>
      <c r="I90" s="230"/>
      <c r="J90" s="230"/>
      <c r="K90" s="230"/>
      <c r="L90" s="230"/>
      <c r="M90" s="230"/>
      <c r="N90" s="230"/>
      <c r="O90" s="230"/>
      <c r="P90" s="230"/>
      <c r="Q90" s="468">
        <f>IF($B90="Domestic Refrigeration",(($E90*(1/100)+$F90*(0.5/100)+$G90*(80/100)*(1-70/100))*$D90),0)</f>
        <v>0</v>
      </c>
      <c r="R90" s="468">
        <f t="shared" si="7"/>
        <v>0</v>
      </c>
      <c r="S90" s="468">
        <f t="shared" si="8"/>
        <v>0</v>
      </c>
      <c r="T90" s="468">
        <f t="shared" si="9"/>
        <v>0</v>
      </c>
      <c r="U90" s="468">
        <f t="shared" si="10"/>
        <v>0</v>
      </c>
      <c r="V90" s="468">
        <f t="shared" si="11"/>
        <v>0</v>
      </c>
      <c r="W90" s="468">
        <f t="shared" si="12"/>
        <v>0</v>
      </c>
      <c r="X90" s="468">
        <f t="shared" si="13"/>
        <v>0</v>
      </c>
      <c r="Y90" s="468">
        <f t="shared" si="14"/>
        <v>0</v>
      </c>
      <c r="Z90" s="230"/>
      <c r="AA90" s="230"/>
      <c r="AB90" s="230"/>
      <c r="AC90" s="230"/>
      <c r="AD90" s="230"/>
    </row>
    <row r="91" spans="1:30">
      <c r="A91" s="133"/>
      <c r="B91" s="240"/>
      <c r="C91" s="240"/>
      <c r="D91" s="206" t="str">
        <f t="shared" si="4"/>
        <v/>
      </c>
      <c r="E91" s="125"/>
      <c r="F91" s="125"/>
      <c r="G91" s="125"/>
      <c r="H91" s="146" t="str">
        <f t="shared" si="5"/>
        <v/>
      </c>
      <c r="I91" s="230"/>
      <c r="J91" s="230"/>
      <c r="K91" s="230"/>
      <c r="L91" s="230"/>
      <c r="M91" s="230"/>
      <c r="N91" s="230"/>
      <c r="O91" s="230"/>
      <c r="P91" s="230"/>
      <c r="Q91" s="468">
        <f t="shared" si="6"/>
        <v>0</v>
      </c>
      <c r="R91" s="468">
        <f t="shared" si="7"/>
        <v>0</v>
      </c>
      <c r="S91" s="468">
        <f t="shared" si="8"/>
        <v>0</v>
      </c>
      <c r="T91" s="468">
        <f t="shared" si="9"/>
        <v>0</v>
      </c>
      <c r="U91" s="468">
        <f t="shared" si="10"/>
        <v>0</v>
      </c>
      <c r="V91" s="468">
        <f t="shared" si="11"/>
        <v>0</v>
      </c>
      <c r="W91" s="468">
        <f t="shared" si="12"/>
        <v>0</v>
      </c>
      <c r="X91" s="468">
        <f t="shared" si="13"/>
        <v>0</v>
      </c>
      <c r="Y91" s="468">
        <f t="shared" si="14"/>
        <v>0</v>
      </c>
      <c r="Z91" s="230"/>
      <c r="AA91" s="230"/>
      <c r="AB91" s="230"/>
      <c r="AC91" s="230"/>
      <c r="AD91" s="230"/>
    </row>
    <row r="92" spans="1:30">
      <c r="A92" s="133"/>
      <c r="B92" s="240"/>
      <c r="C92" s="240"/>
      <c r="D92" s="206" t="str">
        <f t="shared" si="4"/>
        <v/>
      </c>
      <c r="E92" s="125"/>
      <c r="F92" s="125"/>
      <c r="G92" s="125"/>
      <c r="H92" s="146" t="str">
        <f t="shared" si="5"/>
        <v/>
      </c>
      <c r="I92" s="230"/>
      <c r="J92" s="230"/>
      <c r="K92" s="230"/>
      <c r="L92" s="230"/>
      <c r="M92" s="230"/>
      <c r="N92" s="230"/>
      <c r="O92" s="230"/>
      <c r="P92" s="230"/>
      <c r="Q92" s="468">
        <f t="shared" si="6"/>
        <v>0</v>
      </c>
      <c r="R92" s="468">
        <f t="shared" si="7"/>
        <v>0</v>
      </c>
      <c r="S92" s="468">
        <f t="shared" si="8"/>
        <v>0</v>
      </c>
      <c r="T92" s="468">
        <f t="shared" si="9"/>
        <v>0</v>
      </c>
      <c r="U92" s="468">
        <f t="shared" si="10"/>
        <v>0</v>
      </c>
      <c r="V92" s="468">
        <f t="shared" si="11"/>
        <v>0</v>
      </c>
      <c r="W92" s="468">
        <f t="shared" si="12"/>
        <v>0</v>
      </c>
      <c r="X92" s="468">
        <f t="shared" si="13"/>
        <v>0</v>
      </c>
      <c r="Y92" s="468">
        <f t="shared" si="14"/>
        <v>0</v>
      </c>
      <c r="Z92" s="230"/>
      <c r="AA92" s="230"/>
      <c r="AB92" s="230"/>
      <c r="AC92" s="230"/>
      <c r="AD92" s="230"/>
    </row>
    <row r="93" spans="1:30">
      <c r="A93" s="133"/>
      <c r="B93" s="240"/>
      <c r="C93" s="240"/>
      <c r="D93" s="206" t="str">
        <f t="shared" si="4"/>
        <v/>
      </c>
      <c r="E93" s="125"/>
      <c r="F93" s="125"/>
      <c r="G93" s="125"/>
      <c r="H93" s="146" t="str">
        <f t="shared" si="5"/>
        <v/>
      </c>
      <c r="I93" s="230"/>
      <c r="J93" s="230"/>
      <c r="K93" s="230"/>
      <c r="L93" s="230"/>
      <c r="M93" s="230"/>
      <c r="N93" s="230"/>
      <c r="O93" s="230"/>
      <c r="P93" s="230"/>
      <c r="Q93" s="468">
        <f t="shared" si="6"/>
        <v>0</v>
      </c>
      <c r="R93" s="468">
        <f t="shared" si="7"/>
        <v>0</v>
      </c>
      <c r="S93" s="468">
        <f t="shared" si="8"/>
        <v>0</v>
      </c>
      <c r="T93" s="468">
        <f t="shared" si="9"/>
        <v>0</v>
      </c>
      <c r="U93" s="468">
        <f t="shared" si="10"/>
        <v>0</v>
      </c>
      <c r="V93" s="468">
        <f t="shared" si="11"/>
        <v>0</v>
      </c>
      <c r="W93" s="468">
        <f t="shared" si="12"/>
        <v>0</v>
      </c>
      <c r="X93" s="468">
        <f t="shared" si="13"/>
        <v>0</v>
      </c>
      <c r="Y93" s="468">
        <f t="shared" si="14"/>
        <v>0</v>
      </c>
      <c r="Z93" s="230"/>
      <c r="AA93" s="230"/>
      <c r="AB93" s="230"/>
      <c r="AC93" s="230"/>
      <c r="AD93" s="230"/>
    </row>
    <row r="94" spans="1:30">
      <c r="A94" s="133"/>
      <c r="B94" s="240"/>
      <c r="C94" s="240"/>
      <c r="D94" s="206" t="str">
        <f t="shared" si="4"/>
        <v/>
      </c>
      <c r="E94" s="125"/>
      <c r="F94" s="125"/>
      <c r="G94" s="125"/>
      <c r="H94" s="146" t="str">
        <f t="shared" si="5"/>
        <v/>
      </c>
      <c r="I94" s="230"/>
      <c r="J94" s="230"/>
      <c r="K94" s="465"/>
      <c r="L94" s="465"/>
      <c r="M94" s="230"/>
      <c r="N94" s="230"/>
      <c r="O94" s="230"/>
      <c r="P94" s="230"/>
      <c r="Q94" s="468">
        <f t="shared" si="6"/>
        <v>0</v>
      </c>
      <c r="R94" s="468">
        <f t="shared" si="7"/>
        <v>0</v>
      </c>
      <c r="S94" s="468">
        <f t="shared" si="8"/>
        <v>0</v>
      </c>
      <c r="T94" s="468">
        <f t="shared" si="9"/>
        <v>0</v>
      </c>
      <c r="U94" s="468">
        <f t="shared" si="10"/>
        <v>0</v>
      </c>
      <c r="V94" s="468">
        <f t="shared" si="11"/>
        <v>0</v>
      </c>
      <c r="W94" s="468">
        <f t="shared" si="12"/>
        <v>0</v>
      </c>
      <c r="X94" s="468">
        <f t="shared" si="13"/>
        <v>0</v>
      </c>
      <c r="Y94" s="468">
        <f t="shared" si="14"/>
        <v>0</v>
      </c>
      <c r="Z94" s="230"/>
      <c r="AA94" s="230"/>
      <c r="AB94" s="230"/>
      <c r="AC94" s="230"/>
      <c r="AD94" s="230"/>
    </row>
    <row r="95" spans="1:30">
      <c r="A95" s="133"/>
      <c r="B95" s="240"/>
      <c r="C95" s="240"/>
      <c r="D95" s="206" t="str">
        <f t="shared" si="4"/>
        <v/>
      </c>
      <c r="E95" s="125"/>
      <c r="F95" s="125"/>
      <c r="G95" s="125"/>
      <c r="H95" s="146" t="str">
        <f t="shared" si="5"/>
        <v/>
      </c>
      <c r="I95" s="230"/>
      <c r="J95" s="230"/>
      <c r="K95" s="465"/>
      <c r="L95" s="230"/>
      <c r="M95" s="230"/>
      <c r="N95" s="230"/>
      <c r="O95" s="230"/>
      <c r="P95" s="230"/>
      <c r="Q95" s="468">
        <f t="shared" si="6"/>
        <v>0</v>
      </c>
      <c r="R95" s="468">
        <f t="shared" si="7"/>
        <v>0</v>
      </c>
      <c r="S95" s="468">
        <f t="shared" si="8"/>
        <v>0</v>
      </c>
      <c r="T95" s="468">
        <f t="shared" si="9"/>
        <v>0</v>
      </c>
      <c r="U95" s="468">
        <f t="shared" si="10"/>
        <v>0</v>
      </c>
      <c r="V95" s="468">
        <f t="shared" si="11"/>
        <v>0</v>
      </c>
      <c r="W95" s="468">
        <f t="shared" si="12"/>
        <v>0</v>
      </c>
      <c r="X95" s="468">
        <f t="shared" si="13"/>
        <v>0</v>
      </c>
      <c r="Y95" s="468">
        <f t="shared" si="14"/>
        <v>0</v>
      </c>
      <c r="Z95" s="230"/>
      <c r="AA95" s="230"/>
      <c r="AB95" s="230"/>
      <c r="AC95" s="230"/>
      <c r="AD95" s="230"/>
    </row>
    <row r="96" spans="1:30">
      <c r="A96" s="133"/>
      <c r="B96" s="240"/>
      <c r="C96" s="240"/>
      <c r="D96" s="206" t="str">
        <f t="shared" si="4"/>
        <v/>
      </c>
      <c r="E96" s="125"/>
      <c r="F96" s="125"/>
      <c r="G96" s="125"/>
      <c r="H96" s="146" t="str">
        <f t="shared" si="5"/>
        <v/>
      </c>
      <c r="I96" s="230"/>
      <c r="J96" s="230"/>
      <c r="K96" s="465"/>
      <c r="L96" s="230"/>
      <c r="M96" s="230"/>
      <c r="N96" s="230"/>
      <c r="O96" s="230"/>
      <c r="P96" s="230"/>
      <c r="Q96" s="468">
        <f t="shared" si="6"/>
        <v>0</v>
      </c>
      <c r="R96" s="468">
        <f t="shared" si="7"/>
        <v>0</v>
      </c>
      <c r="S96" s="468">
        <f t="shared" si="8"/>
        <v>0</v>
      </c>
      <c r="T96" s="468">
        <f t="shared" si="9"/>
        <v>0</v>
      </c>
      <c r="U96" s="468">
        <f t="shared" si="10"/>
        <v>0</v>
      </c>
      <c r="V96" s="468">
        <f t="shared" si="11"/>
        <v>0</v>
      </c>
      <c r="W96" s="468">
        <f t="shared" si="12"/>
        <v>0</v>
      </c>
      <c r="X96" s="468">
        <f t="shared" si="13"/>
        <v>0</v>
      </c>
      <c r="Y96" s="468">
        <f t="shared" si="14"/>
        <v>0</v>
      </c>
      <c r="Z96" s="230"/>
      <c r="AA96" s="230"/>
      <c r="AB96" s="230"/>
      <c r="AC96" s="230"/>
      <c r="AD96" s="230"/>
    </row>
    <row r="97" spans="1:30">
      <c r="A97" s="133"/>
      <c r="B97" s="240"/>
      <c r="C97" s="240"/>
      <c r="D97" s="206" t="str">
        <f t="shared" si="4"/>
        <v/>
      </c>
      <c r="E97" s="125"/>
      <c r="F97" s="125"/>
      <c r="G97" s="125"/>
      <c r="H97" s="146" t="str">
        <f t="shared" si="5"/>
        <v/>
      </c>
      <c r="I97" s="230"/>
      <c r="J97" s="230"/>
      <c r="K97" s="465"/>
      <c r="L97" s="465"/>
      <c r="M97" s="230"/>
      <c r="N97" s="230"/>
      <c r="O97" s="230"/>
      <c r="P97" s="230"/>
      <c r="Q97" s="468">
        <f t="shared" si="6"/>
        <v>0</v>
      </c>
      <c r="R97" s="468">
        <f t="shared" si="7"/>
        <v>0</v>
      </c>
      <c r="S97" s="468">
        <f t="shared" si="8"/>
        <v>0</v>
      </c>
      <c r="T97" s="468">
        <f t="shared" si="9"/>
        <v>0</v>
      </c>
      <c r="U97" s="468">
        <f t="shared" si="10"/>
        <v>0</v>
      </c>
      <c r="V97" s="468">
        <f t="shared" si="11"/>
        <v>0</v>
      </c>
      <c r="W97" s="468">
        <f t="shared" si="12"/>
        <v>0</v>
      </c>
      <c r="X97" s="468">
        <f t="shared" si="13"/>
        <v>0</v>
      </c>
      <c r="Y97" s="468">
        <f t="shared" si="14"/>
        <v>0</v>
      </c>
      <c r="Z97" s="230"/>
      <c r="AA97" s="230"/>
      <c r="AB97" s="230"/>
      <c r="AC97" s="230"/>
      <c r="AD97" s="230"/>
    </row>
    <row r="98" spans="1:30">
      <c r="A98" s="133"/>
      <c r="B98" s="240"/>
      <c r="C98" s="240"/>
      <c r="D98" s="206" t="str">
        <f t="shared" si="4"/>
        <v/>
      </c>
      <c r="E98" s="125"/>
      <c r="F98" s="125"/>
      <c r="G98" s="125"/>
      <c r="H98" s="146" t="str">
        <f t="shared" si="5"/>
        <v/>
      </c>
      <c r="I98" s="230"/>
      <c r="J98" s="230"/>
      <c r="K98" s="230"/>
      <c r="L98" s="230"/>
      <c r="M98" s="230"/>
      <c r="N98" s="230"/>
      <c r="O98" s="230"/>
      <c r="P98" s="230"/>
      <c r="Q98" s="468">
        <f t="shared" si="6"/>
        <v>0</v>
      </c>
      <c r="R98" s="468">
        <f t="shared" si="7"/>
        <v>0</v>
      </c>
      <c r="S98" s="468">
        <f t="shared" si="8"/>
        <v>0</v>
      </c>
      <c r="T98" s="468">
        <f t="shared" si="9"/>
        <v>0</v>
      </c>
      <c r="U98" s="468">
        <f t="shared" si="10"/>
        <v>0</v>
      </c>
      <c r="V98" s="468">
        <f t="shared" si="11"/>
        <v>0</v>
      </c>
      <c r="W98" s="468">
        <f t="shared" si="12"/>
        <v>0</v>
      </c>
      <c r="X98" s="468">
        <f t="shared" si="13"/>
        <v>0</v>
      </c>
      <c r="Y98" s="468">
        <f t="shared" si="14"/>
        <v>0</v>
      </c>
      <c r="Z98" s="230"/>
      <c r="AA98" s="230"/>
      <c r="AB98" s="230"/>
      <c r="AC98" s="230"/>
      <c r="AD98" s="230"/>
    </row>
    <row r="99" spans="1:30">
      <c r="A99" s="133"/>
      <c r="B99" s="240"/>
      <c r="C99" s="240"/>
      <c r="D99" s="206" t="str">
        <f t="shared" si="4"/>
        <v/>
      </c>
      <c r="E99" s="125"/>
      <c r="F99" s="125"/>
      <c r="G99" s="125"/>
      <c r="H99" s="146" t="str">
        <f t="shared" si="5"/>
        <v/>
      </c>
      <c r="I99" s="230"/>
      <c r="J99" s="230"/>
      <c r="K99" s="230"/>
      <c r="L99" s="230"/>
      <c r="M99" s="230"/>
      <c r="N99" s="230"/>
      <c r="O99" s="230"/>
      <c r="P99" s="230"/>
      <c r="Q99" s="468">
        <f t="shared" si="6"/>
        <v>0</v>
      </c>
      <c r="R99" s="468">
        <f t="shared" si="7"/>
        <v>0</v>
      </c>
      <c r="S99" s="468">
        <f t="shared" si="8"/>
        <v>0</v>
      </c>
      <c r="T99" s="468">
        <f t="shared" si="9"/>
        <v>0</v>
      </c>
      <c r="U99" s="468">
        <f t="shared" si="10"/>
        <v>0</v>
      </c>
      <c r="V99" s="468">
        <f t="shared" si="11"/>
        <v>0</v>
      </c>
      <c r="W99" s="468">
        <f t="shared" si="12"/>
        <v>0</v>
      </c>
      <c r="X99" s="468">
        <f t="shared" si="13"/>
        <v>0</v>
      </c>
      <c r="Y99" s="468">
        <f t="shared" si="14"/>
        <v>0</v>
      </c>
      <c r="Z99" s="230"/>
      <c r="AA99" s="230"/>
      <c r="AB99" s="230"/>
      <c r="AC99" s="230"/>
      <c r="AD99" s="230"/>
    </row>
    <row r="100" spans="1:30">
      <c r="A100" s="133"/>
      <c r="B100" s="240"/>
      <c r="C100" s="240"/>
      <c r="D100" s="206" t="str">
        <f t="shared" si="4"/>
        <v/>
      </c>
      <c r="E100" s="125"/>
      <c r="F100" s="125"/>
      <c r="G100" s="125"/>
      <c r="H100" s="146" t="str">
        <f t="shared" si="5"/>
        <v/>
      </c>
      <c r="I100" s="230"/>
      <c r="J100" s="230"/>
      <c r="K100" s="230"/>
      <c r="L100" s="230"/>
      <c r="M100" s="230"/>
      <c r="N100" s="230"/>
      <c r="O100" s="230"/>
      <c r="P100" s="230"/>
      <c r="Q100" s="468">
        <f t="shared" si="6"/>
        <v>0</v>
      </c>
      <c r="R100" s="468">
        <f t="shared" si="7"/>
        <v>0</v>
      </c>
      <c r="S100" s="468">
        <f t="shared" si="8"/>
        <v>0</v>
      </c>
      <c r="T100" s="468">
        <f t="shared" si="9"/>
        <v>0</v>
      </c>
      <c r="U100" s="468">
        <f t="shared" si="10"/>
        <v>0</v>
      </c>
      <c r="V100" s="468">
        <f t="shared" si="11"/>
        <v>0</v>
      </c>
      <c r="W100" s="468">
        <f t="shared" si="12"/>
        <v>0</v>
      </c>
      <c r="X100" s="468">
        <f t="shared" si="13"/>
        <v>0</v>
      </c>
      <c r="Y100" s="468">
        <f t="shared" si="14"/>
        <v>0</v>
      </c>
      <c r="Z100" s="230"/>
      <c r="AA100" s="230"/>
      <c r="AB100" s="230"/>
      <c r="AC100" s="230"/>
      <c r="AD100" s="230"/>
    </row>
    <row r="101" spans="1:30">
      <c r="A101" s="133"/>
      <c r="B101" s="240"/>
      <c r="C101" s="240"/>
      <c r="D101" s="206" t="str">
        <f t="shared" si="4"/>
        <v/>
      </c>
      <c r="E101" s="125"/>
      <c r="F101" s="125"/>
      <c r="G101" s="125"/>
      <c r="H101" s="146" t="str">
        <f t="shared" si="5"/>
        <v/>
      </c>
      <c r="I101" s="230"/>
      <c r="J101" s="230"/>
      <c r="K101" s="230"/>
      <c r="L101" s="230"/>
      <c r="M101" s="230"/>
      <c r="N101" s="230"/>
      <c r="O101" s="230"/>
      <c r="P101" s="230"/>
      <c r="Q101" s="468">
        <f t="shared" si="6"/>
        <v>0</v>
      </c>
      <c r="R101" s="468">
        <f t="shared" si="7"/>
        <v>0</v>
      </c>
      <c r="S101" s="468">
        <f t="shared" si="8"/>
        <v>0</v>
      </c>
      <c r="T101" s="468">
        <f t="shared" si="9"/>
        <v>0</v>
      </c>
      <c r="U101" s="468">
        <f t="shared" si="10"/>
        <v>0</v>
      </c>
      <c r="V101" s="468">
        <f t="shared" si="11"/>
        <v>0</v>
      </c>
      <c r="W101" s="468">
        <f t="shared" si="12"/>
        <v>0</v>
      </c>
      <c r="X101" s="468">
        <f t="shared" si="13"/>
        <v>0</v>
      </c>
      <c r="Y101" s="468">
        <f t="shared" si="14"/>
        <v>0</v>
      </c>
      <c r="Z101" s="230"/>
      <c r="AA101" s="230"/>
      <c r="AB101" s="230"/>
      <c r="AC101" s="230"/>
      <c r="AD101" s="230"/>
    </row>
    <row r="102" spans="1:30">
      <c r="A102" s="133"/>
      <c r="B102" s="240"/>
      <c r="C102" s="240"/>
      <c r="D102" s="206" t="str">
        <f t="shared" si="4"/>
        <v/>
      </c>
      <c r="E102" s="125"/>
      <c r="F102" s="125"/>
      <c r="G102" s="125"/>
      <c r="H102" s="146" t="str">
        <f t="shared" si="5"/>
        <v/>
      </c>
      <c r="I102" s="230"/>
      <c r="J102" s="230"/>
      <c r="K102" s="230"/>
      <c r="L102" s="230"/>
      <c r="M102" s="230"/>
      <c r="N102" s="230"/>
      <c r="O102" s="230"/>
      <c r="P102" s="230"/>
      <c r="Q102" s="468">
        <f t="shared" si="6"/>
        <v>0</v>
      </c>
      <c r="R102" s="468">
        <f t="shared" si="7"/>
        <v>0</v>
      </c>
      <c r="S102" s="468">
        <f t="shared" si="8"/>
        <v>0</v>
      </c>
      <c r="T102" s="468">
        <f t="shared" si="9"/>
        <v>0</v>
      </c>
      <c r="U102" s="468">
        <f t="shared" si="10"/>
        <v>0</v>
      </c>
      <c r="V102" s="468">
        <f t="shared" si="11"/>
        <v>0</v>
      </c>
      <c r="W102" s="468">
        <f t="shared" si="12"/>
        <v>0</v>
      </c>
      <c r="X102" s="468">
        <f t="shared" si="13"/>
        <v>0</v>
      </c>
      <c r="Y102" s="468">
        <f t="shared" si="14"/>
        <v>0</v>
      </c>
      <c r="Z102" s="230"/>
      <c r="AA102" s="230"/>
      <c r="AB102" s="230"/>
      <c r="AC102" s="230"/>
      <c r="AD102" s="230"/>
    </row>
    <row r="103" spans="1:30">
      <c r="A103" s="133"/>
      <c r="B103" s="240"/>
      <c r="C103" s="240"/>
      <c r="D103" s="206" t="str">
        <f t="shared" si="4"/>
        <v/>
      </c>
      <c r="E103" s="125"/>
      <c r="F103" s="125"/>
      <c r="G103" s="125"/>
      <c r="H103" s="146" t="str">
        <f t="shared" si="5"/>
        <v/>
      </c>
      <c r="I103" s="230"/>
      <c r="J103" s="230"/>
      <c r="K103" s="230"/>
      <c r="L103" s="230"/>
      <c r="M103" s="230"/>
      <c r="N103" s="230"/>
      <c r="O103" s="230"/>
      <c r="P103" s="230"/>
      <c r="Q103" s="468">
        <f t="shared" si="6"/>
        <v>0</v>
      </c>
      <c r="R103" s="468">
        <f t="shared" si="7"/>
        <v>0</v>
      </c>
      <c r="S103" s="468">
        <f t="shared" si="8"/>
        <v>0</v>
      </c>
      <c r="T103" s="468">
        <f t="shared" si="9"/>
        <v>0</v>
      </c>
      <c r="U103" s="468">
        <f t="shared" si="10"/>
        <v>0</v>
      </c>
      <c r="V103" s="468">
        <f t="shared" si="11"/>
        <v>0</v>
      </c>
      <c r="W103" s="468">
        <f t="shared" si="12"/>
        <v>0</v>
      </c>
      <c r="X103" s="468">
        <f t="shared" si="13"/>
        <v>0</v>
      </c>
      <c r="Y103" s="468">
        <f t="shared" si="14"/>
        <v>0</v>
      </c>
      <c r="Z103" s="230"/>
      <c r="AA103" s="230"/>
      <c r="AB103" s="230"/>
      <c r="AC103" s="230"/>
      <c r="AD103" s="230"/>
    </row>
    <row r="104" spans="1:30">
      <c r="A104" s="133"/>
      <c r="B104" s="240"/>
      <c r="C104" s="240"/>
      <c r="D104" s="206" t="str">
        <f t="shared" si="4"/>
        <v/>
      </c>
      <c r="E104" s="125"/>
      <c r="F104" s="125"/>
      <c r="G104" s="125"/>
      <c r="H104" s="146" t="str">
        <f t="shared" si="5"/>
        <v/>
      </c>
      <c r="I104" s="230"/>
      <c r="J104" s="230"/>
      <c r="K104" s="230"/>
      <c r="L104" s="230"/>
      <c r="M104" s="230"/>
      <c r="N104" s="230"/>
      <c r="O104" s="230"/>
      <c r="P104" s="230"/>
      <c r="Q104" s="468">
        <f t="shared" si="6"/>
        <v>0</v>
      </c>
      <c r="R104" s="468">
        <f t="shared" si="7"/>
        <v>0</v>
      </c>
      <c r="S104" s="468">
        <f t="shared" si="8"/>
        <v>0</v>
      </c>
      <c r="T104" s="468">
        <f t="shared" si="9"/>
        <v>0</v>
      </c>
      <c r="U104" s="468">
        <f t="shared" si="10"/>
        <v>0</v>
      </c>
      <c r="V104" s="468">
        <f t="shared" si="11"/>
        <v>0</v>
      </c>
      <c r="W104" s="468">
        <f t="shared" si="12"/>
        <v>0</v>
      </c>
      <c r="X104" s="468">
        <f t="shared" si="13"/>
        <v>0</v>
      </c>
      <c r="Y104" s="468">
        <f t="shared" si="14"/>
        <v>0</v>
      </c>
      <c r="Z104" s="230"/>
      <c r="AA104" s="230"/>
      <c r="AB104" s="230"/>
      <c r="AC104" s="230"/>
      <c r="AD104" s="230"/>
    </row>
    <row r="105" spans="1:30">
      <c r="A105" s="133"/>
      <c r="B105" s="240"/>
      <c r="C105" s="240"/>
      <c r="D105" s="206" t="str">
        <f t="shared" si="4"/>
        <v/>
      </c>
      <c r="E105" s="125"/>
      <c r="F105" s="125"/>
      <c r="G105" s="125"/>
      <c r="H105" s="146" t="str">
        <f t="shared" si="5"/>
        <v/>
      </c>
      <c r="I105" s="230"/>
      <c r="J105" s="230"/>
      <c r="K105" s="230"/>
      <c r="L105" s="230"/>
      <c r="M105" s="230"/>
      <c r="N105" s="230"/>
      <c r="O105" s="230"/>
      <c r="P105" s="230"/>
      <c r="Q105" s="468">
        <f t="shared" si="6"/>
        <v>0</v>
      </c>
      <c r="R105" s="468">
        <f t="shared" si="7"/>
        <v>0</v>
      </c>
      <c r="S105" s="468">
        <f t="shared" si="8"/>
        <v>0</v>
      </c>
      <c r="T105" s="468">
        <f t="shared" si="9"/>
        <v>0</v>
      </c>
      <c r="U105" s="468">
        <f t="shared" si="10"/>
        <v>0</v>
      </c>
      <c r="V105" s="468">
        <f t="shared" si="11"/>
        <v>0</v>
      </c>
      <c r="W105" s="468">
        <f t="shared" si="12"/>
        <v>0</v>
      </c>
      <c r="X105" s="468">
        <f t="shared" si="13"/>
        <v>0</v>
      </c>
      <c r="Y105" s="468">
        <f t="shared" si="14"/>
        <v>0</v>
      </c>
      <c r="Z105" s="230"/>
      <c r="AA105" s="230"/>
      <c r="AB105" s="230"/>
      <c r="AC105" s="230"/>
      <c r="AD105" s="230"/>
    </row>
    <row r="106" spans="1:30">
      <c r="A106" s="133"/>
      <c r="B106" s="240"/>
      <c r="C106" s="240"/>
      <c r="D106" s="206" t="str">
        <f t="shared" si="4"/>
        <v/>
      </c>
      <c r="E106" s="125"/>
      <c r="F106" s="125"/>
      <c r="G106" s="125"/>
      <c r="H106" s="146" t="str">
        <f t="shared" si="5"/>
        <v/>
      </c>
      <c r="I106" s="230"/>
      <c r="J106" s="230"/>
      <c r="K106" s="230"/>
      <c r="L106" s="230"/>
      <c r="M106" s="230"/>
      <c r="N106" s="230"/>
      <c r="O106" s="230"/>
      <c r="P106" s="230"/>
      <c r="Q106" s="468">
        <f t="shared" si="6"/>
        <v>0</v>
      </c>
      <c r="R106" s="468">
        <f t="shared" si="7"/>
        <v>0</v>
      </c>
      <c r="S106" s="468">
        <f t="shared" si="8"/>
        <v>0</v>
      </c>
      <c r="T106" s="468">
        <f t="shared" si="9"/>
        <v>0</v>
      </c>
      <c r="U106" s="468">
        <f t="shared" si="10"/>
        <v>0</v>
      </c>
      <c r="V106" s="468">
        <f t="shared" si="11"/>
        <v>0</v>
      </c>
      <c r="W106" s="468">
        <f t="shared" si="12"/>
        <v>0</v>
      </c>
      <c r="X106" s="468">
        <f t="shared" si="13"/>
        <v>0</v>
      </c>
      <c r="Y106" s="468">
        <f t="shared" si="14"/>
        <v>0</v>
      </c>
      <c r="Z106" s="230"/>
      <c r="AA106" s="230"/>
      <c r="AB106" s="230"/>
      <c r="AC106" s="230"/>
      <c r="AD106" s="230"/>
    </row>
    <row r="107" spans="1:30">
      <c r="A107" s="133"/>
      <c r="B107" s="240"/>
      <c r="C107" s="240"/>
      <c r="D107" s="206" t="str">
        <f t="shared" si="4"/>
        <v/>
      </c>
      <c r="E107" s="125"/>
      <c r="F107" s="125"/>
      <c r="G107" s="125"/>
      <c r="H107" s="146" t="str">
        <f t="shared" si="5"/>
        <v/>
      </c>
      <c r="I107" s="230"/>
      <c r="J107" s="230"/>
      <c r="K107" s="230"/>
      <c r="L107" s="230"/>
      <c r="M107" s="230"/>
      <c r="N107" s="230"/>
      <c r="O107" s="230"/>
      <c r="P107" s="230"/>
      <c r="Q107" s="468">
        <f t="shared" si="6"/>
        <v>0</v>
      </c>
      <c r="R107" s="468">
        <f t="shared" si="7"/>
        <v>0</v>
      </c>
      <c r="S107" s="468">
        <f t="shared" si="8"/>
        <v>0</v>
      </c>
      <c r="T107" s="468">
        <f t="shared" si="9"/>
        <v>0</v>
      </c>
      <c r="U107" s="468">
        <f t="shared" si="10"/>
        <v>0</v>
      </c>
      <c r="V107" s="468">
        <f t="shared" si="11"/>
        <v>0</v>
      </c>
      <c r="W107" s="468">
        <f t="shared" si="12"/>
        <v>0</v>
      </c>
      <c r="X107" s="468">
        <f t="shared" si="13"/>
        <v>0</v>
      </c>
      <c r="Y107" s="468">
        <f t="shared" si="14"/>
        <v>0</v>
      </c>
      <c r="Z107" s="230"/>
      <c r="AA107" s="230"/>
      <c r="AB107" s="230"/>
      <c r="AC107" s="230"/>
      <c r="AD107" s="230"/>
    </row>
    <row r="108" spans="1:30">
      <c r="A108" s="133"/>
      <c r="B108" s="240"/>
      <c r="C108" s="240"/>
      <c r="D108" s="206" t="str">
        <f t="shared" si="4"/>
        <v/>
      </c>
      <c r="E108" s="125"/>
      <c r="F108" s="125"/>
      <c r="G108" s="125"/>
      <c r="H108" s="146" t="str">
        <f t="shared" si="5"/>
        <v/>
      </c>
      <c r="I108" s="230"/>
      <c r="J108" s="230"/>
      <c r="K108" s="230"/>
      <c r="L108" s="230"/>
      <c r="M108" s="230"/>
      <c r="N108" s="230"/>
      <c r="O108" s="230"/>
      <c r="P108" s="230"/>
      <c r="Q108" s="468">
        <f t="shared" si="6"/>
        <v>0</v>
      </c>
      <c r="R108" s="468">
        <f t="shared" si="7"/>
        <v>0</v>
      </c>
      <c r="S108" s="468">
        <f t="shared" si="8"/>
        <v>0</v>
      </c>
      <c r="T108" s="468">
        <f t="shared" si="9"/>
        <v>0</v>
      </c>
      <c r="U108" s="468">
        <f t="shared" si="10"/>
        <v>0</v>
      </c>
      <c r="V108" s="468">
        <f t="shared" si="11"/>
        <v>0</v>
      </c>
      <c r="W108" s="468">
        <f t="shared" si="12"/>
        <v>0</v>
      </c>
      <c r="X108" s="468">
        <f t="shared" si="13"/>
        <v>0</v>
      </c>
      <c r="Y108" s="468">
        <f t="shared" si="14"/>
        <v>0</v>
      </c>
      <c r="Z108" s="230"/>
      <c r="AA108" s="230"/>
      <c r="AB108" s="230"/>
      <c r="AC108" s="230"/>
      <c r="AD108" s="230"/>
    </row>
    <row r="109" spans="1:30">
      <c r="A109" s="133"/>
      <c r="B109" s="240"/>
      <c r="C109" s="240"/>
      <c r="D109" s="206" t="str">
        <f t="shared" si="4"/>
        <v/>
      </c>
      <c r="E109" s="125"/>
      <c r="F109" s="125"/>
      <c r="G109" s="125"/>
      <c r="H109" s="146" t="str">
        <f t="shared" si="5"/>
        <v/>
      </c>
      <c r="I109" s="230"/>
      <c r="J109" s="230"/>
      <c r="K109" s="230"/>
      <c r="L109" s="230"/>
      <c r="M109" s="230"/>
      <c r="N109" s="230"/>
      <c r="O109" s="230"/>
      <c r="P109" s="230"/>
      <c r="Q109" s="468">
        <f t="shared" si="6"/>
        <v>0</v>
      </c>
      <c r="R109" s="468">
        <f t="shared" si="7"/>
        <v>0</v>
      </c>
      <c r="S109" s="468">
        <f t="shared" si="8"/>
        <v>0</v>
      </c>
      <c r="T109" s="468">
        <f t="shared" si="9"/>
        <v>0</v>
      </c>
      <c r="U109" s="468">
        <f t="shared" si="10"/>
        <v>0</v>
      </c>
      <c r="V109" s="468">
        <f t="shared" si="11"/>
        <v>0</v>
      </c>
      <c r="W109" s="468">
        <f t="shared" si="12"/>
        <v>0</v>
      </c>
      <c r="X109" s="468">
        <f t="shared" si="13"/>
        <v>0</v>
      </c>
      <c r="Y109" s="468">
        <f t="shared" si="14"/>
        <v>0</v>
      </c>
      <c r="Z109" s="230"/>
      <c r="AA109" s="230"/>
      <c r="AB109" s="230"/>
      <c r="AC109" s="230"/>
      <c r="AD109" s="230"/>
    </row>
    <row r="110" spans="1:30">
      <c r="A110" s="133"/>
      <c r="B110" s="240"/>
      <c r="C110" s="240"/>
      <c r="D110" s="206" t="str">
        <f t="shared" si="4"/>
        <v/>
      </c>
      <c r="E110" s="125"/>
      <c r="F110" s="125"/>
      <c r="G110" s="125"/>
      <c r="H110" s="146" t="str">
        <f t="shared" si="5"/>
        <v/>
      </c>
      <c r="I110" s="230"/>
      <c r="J110" s="230"/>
      <c r="K110" s="230"/>
      <c r="L110" s="230"/>
      <c r="M110" s="230"/>
      <c r="N110" s="230"/>
      <c r="O110" s="230"/>
      <c r="P110" s="230"/>
      <c r="Q110" s="468">
        <f t="shared" si="6"/>
        <v>0</v>
      </c>
      <c r="R110" s="468">
        <f t="shared" si="7"/>
        <v>0</v>
      </c>
      <c r="S110" s="468">
        <f t="shared" si="8"/>
        <v>0</v>
      </c>
      <c r="T110" s="468">
        <f t="shared" si="9"/>
        <v>0</v>
      </c>
      <c r="U110" s="468">
        <f t="shared" si="10"/>
        <v>0</v>
      </c>
      <c r="V110" s="468">
        <f t="shared" si="11"/>
        <v>0</v>
      </c>
      <c r="W110" s="468">
        <f t="shared" si="12"/>
        <v>0</v>
      </c>
      <c r="X110" s="468">
        <f t="shared" si="13"/>
        <v>0</v>
      </c>
      <c r="Y110" s="468">
        <f t="shared" si="14"/>
        <v>0</v>
      </c>
      <c r="Z110" s="230"/>
      <c r="AA110" s="230"/>
      <c r="AB110" s="230"/>
      <c r="AC110" s="230"/>
      <c r="AD110" s="230"/>
    </row>
    <row r="111" spans="1:30">
      <c r="A111" s="133"/>
      <c r="B111" s="240"/>
      <c r="C111" s="240"/>
      <c r="D111" s="206" t="str">
        <f t="shared" si="4"/>
        <v/>
      </c>
      <c r="E111" s="125"/>
      <c r="F111" s="125"/>
      <c r="G111" s="125"/>
      <c r="H111" s="146" t="str">
        <f t="shared" si="5"/>
        <v/>
      </c>
      <c r="I111" s="230"/>
      <c r="J111" s="230"/>
      <c r="K111" s="230"/>
      <c r="L111" s="230"/>
      <c r="M111" s="230"/>
      <c r="N111" s="230"/>
      <c r="O111" s="230"/>
      <c r="P111" s="230"/>
      <c r="Q111" s="468">
        <f t="shared" si="6"/>
        <v>0</v>
      </c>
      <c r="R111" s="468">
        <f t="shared" si="7"/>
        <v>0</v>
      </c>
      <c r="S111" s="468">
        <f t="shared" si="8"/>
        <v>0</v>
      </c>
      <c r="T111" s="468">
        <f t="shared" si="9"/>
        <v>0</v>
      </c>
      <c r="U111" s="468">
        <f t="shared" si="10"/>
        <v>0</v>
      </c>
      <c r="V111" s="468">
        <f t="shared" si="11"/>
        <v>0</v>
      </c>
      <c r="W111" s="468">
        <f t="shared" si="12"/>
        <v>0</v>
      </c>
      <c r="X111" s="468">
        <f t="shared" si="13"/>
        <v>0</v>
      </c>
      <c r="Y111" s="468">
        <f t="shared" si="14"/>
        <v>0</v>
      </c>
      <c r="Z111" s="230"/>
      <c r="AA111" s="230"/>
      <c r="AB111" s="230"/>
      <c r="AC111" s="230"/>
      <c r="AD111" s="230"/>
    </row>
    <row r="112" spans="1:30">
      <c r="A112" s="133"/>
      <c r="B112" s="240"/>
      <c r="C112" s="240"/>
      <c r="D112" s="206" t="str">
        <f t="shared" si="4"/>
        <v/>
      </c>
      <c r="E112" s="125"/>
      <c r="F112" s="125"/>
      <c r="G112" s="125"/>
      <c r="H112" s="146" t="str">
        <f t="shared" si="5"/>
        <v/>
      </c>
      <c r="I112" s="230"/>
      <c r="J112" s="230"/>
      <c r="K112" s="230"/>
      <c r="L112" s="230"/>
      <c r="M112" s="230"/>
      <c r="N112" s="230"/>
      <c r="O112" s="230"/>
      <c r="P112" s="230"/>
      <c r="Q112" s="468">
        <f t="shared" si="6"/>
        <v>0</v>
      </c>
      <c r="R112" s="468">
        <f t="shared" si="7"/>
        <v>0</v>
      </c>
      <c r="S112" s="468">
        <f t="shared" si="8"/>
        <v>0</v>
      </c>
      <c r="T112" s="468">
        <f t="shared" si="9"/>
        <v>0</v>
      </c>
      <c r="U112" s="468">
        <f t="shared" si="10"/>
        <v>0</v>
      </c>
      <c r="V112" s="468">
        <f t="shared" si="11"/>
        <v>0</v>
      </c>
      <c r="W112" s="468">
        <f t="shared" si="12"/>
        <v>0</v>
      </c>
      <c r="X112" s="468">
        <f t="shared" si="13"/>
        <v>0</v>
      </c>
      <c r="Y112" s="468">
        <f t="shared" si="14"/>
        <v>0</v>
      </c>
      <c r="Z112" s="230"/>
      <c r="AA112" s="230"/>
      <c r="AB112" s="230"/>
      <c r="AC112" s="230"/>
      <c r="AD112" s="230"/>
    </row>
    <row r="113" spans="1:30">
      <c r="A113" s="133"/>
      <c r="B113" s="240"/>
      <c r="C113" s="240"/>
      <c r="D113" s="206" t="str">
        <f t="shared" si="4"/>
        <v/>
      </c>
      <c r="E113" s="125"/>
      <c r="F113" s="125"/>
      <c r="G113" s="125"/>
      <c r="H113" s="146" t="str">
        <f t="shared" si="5"/>
        <v/>
      </c>
      <c r="I113" s="230"/>
      <c r="J113" s="230"/>
      <c r="K113" s="230"/>
      <c r="L113" s="230"/>
      <c r="M113" s="230"/>
      <c r="N113" s="230"/>
      <c r="O113" s="230"/>
      <c r="P113" s="230"/>
      <c r="Q113" s="468">
        <f t="shared" si="6"/>
        <v>0</v>
      </c>
      <c r="R113" s="468">
        <f t="shared" si="7"/>
        <v>0</v>
      </c>
      <c r="S113" s="468">
        <f t="shared" si="8"/>
        <v>0</v>
      </c>
      <c r="T113" s="468">
        <f t="shared" si="9"/>
        <v>0</v>
      </c>
      <c r="U113" s="468">
        <f t="shared" si="10"/>
        <v>0</v>
      </c>
      <c r="V113" s="468">
        <f t="shared" si="11"/>
        <v>0</v>
      </c>
      <c r="W113" s="468">
        <f t="shared" si="12"/>
        <v>0</v>
      </c>
      <c r="X113" s="468">
        <f t="shared" si="13"/>
        <v>0</v>
      </c>
      <c r="Y113" s="468">
        <f t="shared" si="14"/>
        <v>0</v>
      </c>
      <c r="Z113" s="230"/>
      <c r="AA113" s="230"/>
      <c r="AB113" s="230"/>
      <c r="AC113" s="230"/>
      <c r="AD113" s="230"/>
    </row>
    <row r="114" spans="1:30" ht="13.5" thickBot="1">
      <c r="A114" s="134"/>
      <c r="B114" s="255"/>
      <c r="C114" s="255"/>
      <c r="D114" s="211" t="str">
        <f t="shared" si="4"/>
        <v/>
      </c>
      <c r="E114" s="126"/>
      <c r="F114" s="126"/>
      <c r="G114" s="126"/>
      <c r="H114" s="147" t="str">
        <f t="shared" si="5"/>
        <v/>
      </c>
      <c r="I114" s="230"/>
      <c r="J114" s="230"/>
      <c r="K114" s="230"/>
      <c r="L114" s="230"/>
      <c r="M114" s="230"/>
      <c r="N114" s="230"/>
      <c r="O114" s="230"/>
      <c r="P114" s="230"/>
      <c r="Q114" s="468">
        <f t="shared" si="6"/>
        <v>0</v>
      </c>
      <c r="R114" s="468">
        <f t="shared" si="7"/>
        <v>0</v>
      </c>
      <c r="S114" s="468">
        <f t="shared" si="8"/>
        <v>0</v>
      </c>
      <c r="T114" s="468">
        <f t="shared" si="9"/>
        <v>0</v>
      </c>
      <c r="U114" s="468">
        <f t="shared" si="10"/>
        <v>0</v>
      </c>
      <c r="V114" s="468">
        <f t="shared" si="11"/>
        <v>0</v>
      </c>
      <c r="W114" s="468">
        <f t="shared" si="12"/>
        <v>0</v>
      </c>
      <c r="X114" s="468">
        <f t="shared" si="13"/>
        <v>0</v>
      </c>
      <c r="Y114" s="468">
        <f t="shared" si="14"/>
        <v>0</v>
      </c>
      <c r="Z114" s="230"/>
      <c r="AA114" s="230"/>
      <c r="AB114" s="230"/>
      <c r="AC114" s="230"/>
      <c r="AD114" s="230"/>
    </row>
    <row r="115" spans="1:30">
      <c r="A115" s="332"/>
      <c r="B115" s="332"/>
      <c r="C115" s="332"/>
      <c r="D115" s="326"/>
      <c r="E115" s="352"/>
      <c r="F115" s="352"/>
      <c r="G115" s="352"/>
      <c r="H115" s="327"/>
      <c r="I115" s="230"/>
      <c r="J115" s="230"/>
      <c r="K115" s="230"/>
      <c r="L115" s="230"/>
      <c r="M115" s="230"/>
      <c r="N115" s="230"/>
      <c r="O115" s="230"/>
      <c r="P115" s="230"/>
      <c r="Q115" s="324"/>
      <c r="R115" s="324"/>
      <c r="S115" s="324"/>
      <c r="T115" s="324"/>
      <c r="U115" s="324"/>
      <c r="V115" s="324"/>
      <c r="W115" s="324"/>
      <c r="X115" s="324"/>
      <c r="Y115" s="324"/>
      <c r="Z115" s="230"/>
      <c r="AA115" s="230"/>
      <c r="AB115" s="230"/>
      <c r="AC115" s="230"/>
      <c r="AD115" s="230"/>
    </row>
    <row r="116" spans="1:30">
      <c r="A116" s="128" t="s">
        <v>374</v>
      </c>
      <c r="B116" s="10"/>
      <c r="C116" s="129"/>
      <c r="D116" s="129"/>
      <c r="E116" s="129"/>
      <c r="F116" s="129"/>
      <c r="G116" s="129"/>
      <c r="H116" s="1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131" t="s">
        <v>122</v>
      </c>
      <c r="B117" s="132"/>
      <c r="C117" s="17" t="s">
        <v>94</v>
      </c>
      <c r="D117" s="130"/>
      <c r="E117" s="130"/>
      <c r="F117" s="130"/>
      <c r="G117" s="130"/>
      <c r="H117" s="123"/>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131" t="s">
        <v>92</v>
      </c>
      <c r="B118" s="132"/>
      <c r="C118" s="17" t="s">
        <v>95</v>
      </c>
      <c r="D118" s="130"/>
      <c r="E118" s="130"/>
      <c r="F118" s="130"/>
      <c r="G118" s="130"/>
      <c r="H118" s="123"/>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131" t="s">
        <v>88</v>
      </c>
      <c r="B119" s="132"/>
      <c r="C119" s="17" t="s">
        <v>23</v>
      </c>
      <c r="D119" s="130"/>
      <c r="E119" s="130"/>
      <c r="F119" s="130"/>
      <c r="G119" s="130"/>
      <c r="H119" s="123"/>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131" t="s">
        <v>123</v>
      </c>
      <c r="B120" s="132"/>
      <c r="C120" s="17" t="s">
        <v>96</v>
      </c>
      <c r="D120" s="130"/>
      <c r="E120" s="130"/>
      <c r="F120" s="130"/>
      <c r="G120" s="130"/>
      <c r="H120" s="123"/>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131" t="s">
        <v>124</v>
      </c>
      <c r="B121" s="132"/>
      <c r="C121" s="17" t="s">
        <v>97</v>
      </c>
      <c r="D121" s="130"/>
      <c r="E121" s="130"/>
      <c r="F121" s="130"/>
      <c r="G121" s="130"/>
      <c r="H121" s="123"/>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131" t="s">
        <v>125</v>
      </c>
      <c r="B122" s="132"/>
      <c r="C122" s="17" t="s">
        <v>93</v>
      </c>
      <c r="D122" s="130"/>
      <c r="E122" s="130"/>
      <c r="F122" s="130"/>
      <c r="G122" s="130"/>
      <c r="H122" s="123"/>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131" t="s">
        <v>91</v>
      </c>
      <c r="B123" s="132"/>
      <c r="C123" s="17" t="s">
        <v>98</v>
      </c>
      <c r="D123" s="130"/>
      <c r="E123" s="130"/>
      <c r="F123" s="130"/>
      <c r="G123" s="130"/>
      <c r="H123" s="123"/>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131" t="s">
        <v>90</v>
      </c>
      <c r="B124" s="132"/>
      <c r="C124" s="17" t="s">
        <v>259</v>
      </c>
      <c r="D124" s="130"/>
      <c r="E124" s="130"/>
      <c r="F124" s="130"/>
      <c r="G124" s="130"/>
      <c r="H124" s="123"/>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131" t="s">
        <v>89</v>
      </c>
      <c r="B125" s="132"/>
      <c r="C125" s="17" t="s">
        <v>260</v>
      </c>
      <c r="D125" s="130"/>
      <c r="E125" s="130"/>
      <c r="F125" s="130"/>
      <c r="G125" s="130"/>
      <c r="H125" s="123"/>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10"/>
      <c r="B126" s="10"/>
      <c r="C126" s="10"/>
      <c r="D126" s="10"/>
      <c r="E126" s="10"/>
      <c r="F126" s="10"/>
      <c r="G126" s="10"/>
      <c r="H126" s="1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356" t="s">
        <v>377</v>
      </c>
      <c r="B127" s="331"/>
      <c r="C127" s="331"/>
      <c r="D127" s="331"/>
      <c r="E127" s="331"/>
      <c r="F127" s="331"/>
      <c r="G127" s="331"/>
      <c r="H127" s="331"/>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ht="13.5" thickBot="1">
      <c r="A128" s="13"/>
      <c r="B128" s="10"/>
      <c r="C128" s="10"/>
      <c r="D128" s="10"/>
      <c r="E128" s="10"/>
      <c r="F128" s="10"/>
      <c r="G128" s="10"/>
      <c r="H128" s="1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ht="14.25" customHeight="1">
      <c r="A129" s="1227" t="s">
        <v>560</v>
      </c>
      <c r="B129" s="1228"/>
      <c r="C129" s="1228"/>
      <c r="D129" s="1228"/>
      <c r="E129" s="1228"/>
      <c r="F129" s="51"/>
      <c r="G129" s="10"/>
      <c r="H129" s="1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ht="13.5" thickBot="1">
      <c r="A130" s="1229"/>
      <c r="B130" s="1230"/>
      <c r="C130" s="1230"/>
      <c r="D130" s="1230"/>
      <c r="E130" s="1230"/>
      <c r="F130" s="231">
        <f>(((SUM($F$26:$F$36)+SUM($H$50:$H$60))*kg_per_lb) +SUM($H$77:$H$114))/1000</f>
        <v>0</v>
      </c>
      <c r="G130" s="10"/>
      <c r="H130" s="1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ht="6.75" customHeight="1">
      <c r="A131" s="10"/>
      <c r="B131" s="10"/>
      <c r="C131" s="10"/>
      <c r="D131" s="10"/>
      <c r="E131" s="10"/>
      <c r="F131" s="10"/>
      <c r="G131" s="10"/>
      <c r="H131" s="1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103" t="s">
        <v>138</v>
      </c>
      <c r="B132" s="10"/>
      <c r="C132" s="10"/>
      <c r="D132" s="10"/>
      <c r="E132" s="10"/>
      <c r="F132" s="10"/>
      <c r="G132" s="10"/>
      <c r="H132" s="1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103" t="s">
        <v>958</v>
      </c>
      <c r="B133" s="10"/>
      <c r="C133" s="10"/>
      <c r="D133" s="10"/>
      <c r="E133" s="10"/>
      <c r="F133" s="10"/>
      <c r="G133" s="10"/>
      <c r="H133" s="1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104" t="s">
        <v>959</v>
      </c>
      <c r="B134" s="10"/>
      <c r="C134" s="10"/>
      <c r="D134" s="10"/>
      <c r="E134" s="10"/>
      <c r="F134" s="10"/>
      <c r="G134" s="10"/>
      <c r="H134" s="1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428" t="s">
        <v>776</v>
      </c>
      <c r="B135" s="10"/>
      <c r="C135" s="10"/>
      <c r="D135" s="10"/>
      <c r="E135" s="10"/>
      <c r="F135" s="10"/>
      <c r="G135" s="10"/>
      <c r="H135" s="1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10"/>
      <c r="B136" s="10"/>
      <c r="C136" s="10"/>
      <c r="D136" s="10"/>
      <c r="E136" s="10"/>
      <c r="F136" s="10"/>
      <c r="G136" s="10"/>
      <c r="H136" s="1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10"/>
      <c r="B137" s="10"/>
      <c r="C137" s="10"/>
      <c r="D137" s="10"/>
      <c r="E137" s="10"/>
      <c r="F137" s="10"/>
      <c r="G137" s="10"/>
      <c r="H137" s="1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78"/>
      <c r="B138" s="78"/>
      <c r="C138" s="78"/>
      <c r="D138" s="78"/>
      <c r="E138" s="78"/>
      <c r="F138" s="78"/>
      <c r="G138" s="78"/>
      <c r="H138" s="78"/>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10"/>
      <c r="B139" s="10"/>
      <c r="C139" s="10"/>
      <c r="D139" s="10"/>
      <c r="E139" s="10"/>
      <c r="F139" s="10"/>
      <c r="G139" s="10"/>
      <c r="H139" s="1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10"/>
      <c r="B140" s="10"/>
      <c r="C140" s="10"/>
      <c r="D140" s="10"/>
      <c r="E140" s="10"/>
      <c r="F140" s="10"/>
      <c r="G140" s="10"/>
      <c r="H140" s="1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10"/>
      <c r="B141" s="10"/>
      <c r="C141" s="10"/>
      <c r="D141" s="10"/>
      <c r="E141" s="10"/>
      <c r="F141" s="10"/>
      <c r="G141" s="10"/>
      <c r="H141" s="1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10"/>
      <c r="B142" s="10"/>
      <c r="C142" s="10"/>
      <c r="D142" s="10"/>
      <c r="E142" s="10"/>
      <c r="F142" s="10"/>
      <c r="G142" s="10"/>
      <c r="H142" s="1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10"/>
      <c r="B143" s="10"/>
      <c r="C143" s="10"/>
      <c r="D143" s="10"/>
      <c r="E143" s="10"/>
      <c r="F143" s="10"/>
      <c r="G143" s="10"/>
      <c r="H143" s="1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10"/>
      <c r="B144" s="10"/>
      <c r="C144" s="10"/>
      <c r="D144" s="10"/>
      <c r="E144" s="10"/>
      <c r="F144" s="10"/>
      <c r="G144" s="10"/>
      <c r="H144" s="1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10"/>
      <c r="B145" s="10"/>
      <c r="C145" s="10"/>
      <c r="D145" s="10"/>
      <c r="E145" s="10"/>
      <c r="F145" s="10"/>
      <c r="G145" s="10"/>
      <c r="H145" s="1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10"/>
      <c r="B146" s="10"/>
      <c r="C146" s="10"/>
      <c r="D146" s="10"/>
      <c r="E146" s="10"/>
      <c r="F146" s="10"/>
      <c r="G146" s="10"/>
      <c r="H146" s="1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10"/>
      <c r="B147" s="10"/>
      <c r="C147" s="10"/>
      <c r="D147" s="10"/>
      <c r="E147" s="10"/>
      <c r="F147" s="10"/>
      <c r="G147" s="10"/>
      <c r="H147" s="1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10"/>
      <c r="B148" s="10"/>
      <c r="C148" s="10"/>
      <c r="D148" s="10"/>
      <c r="E148" s="10"/>
      <c r="F148" s="10"/>
      <c r="G148" s="10"/>
      <c r="H148" s="1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10"/>
      <c r="B149" s="10"/>
      <c r="C149" s="10"/>
      <c r="D149" s="10"/>
      <c r="E149" s="10"/>
      <c r="F149" s="10"/>
      <c r="G149" s="10"/>
      <c r="H149" s="1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10"/>
      <c r="B150" s="10"/>
      <c r="C150" s="10"/>
      <c r="D150" s="10"/>
      <c r="E150" s="10"/>
      <c r="F150" s="10"/>
      <c r="G150" s="10"/>
      <c r="H150" s="1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10"/>
      <c r="B151" s="10"/>
      <c r="C151" s="10"/>
      <c r="D151" s="10"/>
      <c r="E151" s="10"/>
      <c r="F151" s="10"/>
      <c r="G151" s="10"/>
      <c r="H151" s="1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10"/>
      <c r="B152" s="10"/>
      <c r="C152" s="10"/>
      <c r="D152" s="10"/>
      <c r="E152" s="10"/>
      <c r="F152" s="10"/>
      <c r="G152" s="10"/>
      <c r="H152" s="1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10"/>
      <c r="B153" s="10"/>
      <c r="C153" s="10"/>
      <c r="D153" s="10"/>
      <c r="E153" s="10"/>
      <c r="F153" s="10"/>
      <c r="G153" s="10"/>
      <c r="H153" s="1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10"/>
      <c r="B154" s="10"/>
      <c r="C154" s="10"/>
      <c r="D154" s="10"/>
      <c r="E154" s="10"/>
      <c r="F154" s="10"/>
      <c r="G154" s="10"/>
      <c r="H154" s="1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10"/>
      <c r="B155" s="10"/>
      <c r="C155" s="10"/>
      <c r="D155" s="10"/>
      <c r="E155" s="10"/>
      <c r="F155" s="10"/>
      <c r="G155" s="10"/>
      <c r="H155" s="1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10"/>
      <c r="B156" s="10"/>
      <c r="C156" s="10"/>
      <c r="D156" s="10"/>
      <c r="E156" s="10"/>
      <c r="F156" s="10"/>
      <c r="G156" s="10"/>
      <c r="H156" s="1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10"/>
      <c r="B157" s="10"/>
      <c r="C157" s="10"/>
      <c r="D157" s="10"/>
      <c r="E157" s="10"/>
      <c r="F157" s="10"/>
      <c r="G157" s="10"/>
      <c r="H157" s="1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10"/>
      <c r="B158" s="10"/>
      <c r="C158" s="10"/>
      <c r="D158" s="10"/>
      <c r="E158" s="10"/>
      <c r="F158" s="10"/>
      <c r="G158" s="10"/>
      <c r="H158" s="1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10"/>
      <c r="B159" s="10"/>
      <c r="C159" s="10"/>
      <c r="D159" s="10"/>
      <c r="E159" s="10"/>
      <c r="F159" s="10"/>
      <c r="G159" s="10"/>
      <c r="H159" s="1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10"/>
      <c r="B160" s="10"/>
      <c r="C160" s="10"/>
      <c r="D160" s="10"/>
      <c r="E160" s="10"/>
      <c r="F160" s="10"/>
      <c r="G160" s="10"/>
      <c r="H160" s="1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10"/>
      <c r="B161" s="10"/>
      <c r="C161" s="10"/>
      <c r="D161" s="10"/>
      <c r="E161" s="10"/>
      <c r="F161" s="10"/>
      <c r="G161" s="10"/>
      <c r="H161" s="1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10"/>
      <c r="B162" s="10"/>
      <c r="C162" s="10"/>
      <c r="D162" s="10"/>
      <c r="E162" s="10"/>
      <c r="F162" s="10"/>
      <c r="G162" s="10"/>
      <c r="H162" s="1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10"/>
      <c r="B163" s="10"/>
      <c r="C163" s="10"/>
      <c r="D163" s="10"/>
      <c r="E163" s="10"/>
      <c r="F163" s="10"/>
      <c r="G163" s="10"/>
      <c r="H163" s="1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10"/>
      <c r="B164" s="10"/>
      <c r="C164" s="10"/>
      <c r="D164" s="10"/>
      <c r="E164" s="10"/>
      <c r="F164" s="10"/>
      <c r="G164" s="10"/>
      <c r="H164" s="1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10"/>
      <c r="B165" s="10"/>
      <c r="C165" s="10"/>
      <c r="D165" s="10"/>
      <c r="E165" s="10"/>
      <c r="F165" s="10"/>
      <c r="G165" s="10"/>
      <c r="H165" s="1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10"/>
      <c r="B166" s="10"/>
      <c r="C166" s="10"/>
      <c r="D166" s="10"/>
      <c r="E166" s="10"/>
      <c r="F166" s="10"/>
      <c r="G166" s="10"/>
      <c r="H166" s="1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10"/>
      <c r="B167" s="10"/>
      <c r="C167" s="10"/>
      <c r="D167" s="10"/>
      <c r="E167" s="10"/>
      <c r="F167" s="10"/>
      <c r="G167" s="10"/>
      <c r="H167" s="1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10"/>
      <c r="B168" s="10"/>
      <c r="C168" s="10"/>
      <c r="D168" s="10"/>
      <c r="E168" s="10"/>
      <c r="F168" s="10"/>
      <c r="G168" s="10"/>
      <c r="H168" s="1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10"/>
      <c r="B169" s="10"/>
      <c r="C169" s="10"/>
      <c r="D169" s="10"/>
      <c r="E169" s="10"/>
      <c r="F169" s="10"/>
      <c r="G169" s="10"/>
      <c r="H169" s="1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10"/>
      <c r="B170" s="10"/>
      <c r="C170" s="10"/>
      <c r="D170" s="10"/>
      <c r="E170" s="10"/>
      <c r="F170" s="10"/>
      <c r="G170" s="10"/>
      <c r="H170" s="1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10"/>
      <c r="B171" s="10"/>
      <c r="C171" s="10"/>
      <c r="D171" s="10"/>
      <c r="E171" s="10"/>
      <c r="F171" s="10"/>
      <c r="G171" s="10"/>
      <c r="H171" s="1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10"/>
      <c r="B172" s="10"/>
      <c r="C172" s="10"/>
      <c r="D172" s="10"/>
      <c r="E172" s="10"/>
      <c r="F172" s="10"/>
      <c r="G172" s="10"/>
      <c r="H172" s="1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10"/>
      <c r="B173" s="10"/>
      <c r="C173" s="10"/>
      <c r="D173" s="10"/>
      <c r="E173" s="10"/>
      <c r="F173" s="10"/>
      <c r="G173" s="10"/>
      <c r="H173" s="1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10"/>
      <c r="B174" s="10"/>
      <c r="C174" s="10"/>
      <c r="D174" s="10"/>
      <c r="E174" s="10"/>
      <c r="F174" s="10"/>
      <c r="G174" s="10"/>
      <c r="H174" s="1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10"/>
      <c r="B175" s="10"/>
      <c r="C175" s="10"/>
      <c r="D175" s="10"/>
      <c r="E175" s="10"/>
      <c r="F175" s="10"/>
      <c r="G175" s="10"/>
      <c r="H175" s="1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10"/>
      <c r="B176" s="10"/>
      <c r="C176" s="10"/>
      <c r="D176" s="10"/>
      <c r="E176" s="10"/>
      <c r="F176" s="10"/>
      <c r="G176" s="10"/>
      <c r="H176" s="1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10"/>
      <c r="B177" s="10"/>
      <c r="C177" s="10"/>
      <c r="D177" s="10"/>
      <c r="E177" s="10"/>
      <c r="F177" s="10"/>
      <c r="G177" s="10"/>
      <c r="H177" s="1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10"/>
      <c r="B178" s="10"/>
      <c r="C178" s="10"/>
      <c r="D178" s="10"/>
      <c r="E178" s="10"/>
      <c r="F178" s="10"/>
      <c r="G178" s="10"/>
      <c r="H178" s="1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10"/>
      <c r="B179" s="10"/>
      <c r="C179" s="10"/>
      <c r="D179" s="10"/>
      <c r="E179" s="10"/>
      <c r="F179" s="10"/>
      <c r="G179" s="10"/>
      <c r="H179" s="1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sheetData>
  <sheetProtection sheet="1"/>
  <mergeCells count="12">
    <mergeCell ref="A6:H6"/>
    <mergeCell ref="A7:H7"/>
    <mergeCell ref="A129:E130"/>
    <mergeCell ref="C47:D47"/>
    <mergeCell ref="F47:G47"/>
    <mergeCell ref="F72:G72"/>
    <mergeCell ref="A66:H66"/>
    <mergeCell ref="A68:H68"/>
    <mergeCell ref="A72:A75"/>
    <mergeCell ref="B72:B75"/>
    <mergeCell ref="C72:C75"/>
    <mergeCell ref="D72:D75"/>
  </mergeCells>
  <phoneticPr fontId="12" type="noConversion"/>
  <dataValidations count="2">
    <dataValidation type="list" allowBlank="1" showInputMessage="1" showErrorMessage="1" sqref="C77:C115 A26:A36 A50:A60" xr:uid="{00000000-0002-0000-0500-000000000000}">
      <formula1>Refrig</formula1>
    </dataValidation>
    <dataValidation type="list" allowBlank="1" showInputMessage="1" showErrorMessage="1" sqref="B76:B115" xr:uid="{00000000-0002-0000-0500-000001000000}">
      <formula1>Refrig_Equip</formula1>
    </dataValidation>
  </dataValidations>
  <pageMargins left="0.25" right="0.25" top="0.25" bottom="0.5" header="0.5" footer="0.25"/>
  <pageSetup scale="77" orientation="portrait" r:id="rId1"/>
  <headerFooter alignWithMargins="0">
    <oddFooter>&amp;L&amp;"Arial,Italic"&amp;9EPA Climate Leaders Simplified GHG Emissions Calculator (Direct 3.0)&amp;R&amp;"Arial,Italic"&amp;9&amp;P of &amp;N</oddFooter>
  </headerFooter>
  <rowBreaks count="2" manualBreakCount="2">
    <brk id="60" max="16383" man="1"/>
    <brk id="135" max="16383" man="1"/>
  </rowBreaks>
  <colBreaks count="1" manualBreakCount="1">
    <brk id="8" max="1048575" man="1"/>
  </colBreaks>
  <drawing r:id="rId2"/>
  <legacyDrawing r:id="rId3"/>
  <controls>
    <mc:AlternateContent xmlns:mc="http://schemas.openxmlformats.org/markup-compatibility/2006">
      <mc:Choice Requires="x14">
        <control shapeId="14415" r:id="rId4" name="CommandButton1">
          <controlPr autoLine="0" r:id="rId5">
            <anchor>
              <from>
                <xdr:col>1</xdr:col>
                <xdr:colOff>0</xdr:colOff>
                <xdr:row>0</xdr:row>
                <xdr:rowOff>142875</xdr:rowOff>
              </from>
              <to>
                <xdr:col>1</xdr:col>
                <xdr:colOff>914400</xdr:colOff>
                <xdr:row>1</xdr:row>
                <xdr:rowOff>142875</xdr:rowOff>
              </to>
            </anchor>
          </controlPr>
        </control>
      </mc:Choice>
      <mc:Fallback>
        <control shapeId="14415" r:id="rId4" name="CommandButton1"/>
      </mc:Fallback>
    </mc:AlternateContent>
    <mc:AlternateContent xmlns:mc="http://schemas.openxmlformats.org/markup-compatibility/2006">
      <mc:Choice Requires="x14">
        <control shapeId="14416" r:id="rId6" name="CommandButton2">
          <controlPr autoLine="0" r:id="rId7">
            <anchor>
              <from>
                <xdr:col>1</xdr:col>
                <xdr:colOff>1114425</xdr:colOff>
                <xdr:row>0</xdr:row>
                <xdr:rowOff>133350</xdr:rowOff>
              </from>
              <to>
                <xdr:col>3</xdr:col>
                <xdr:colOff>47625</xdr:colOff>
                <xdr:row>1</xdr:row>
                <xdr:rowOff>133350</xdr:rowOff>
              </to>
            </anchor>
          </controlPr>
        </control>
      </mc:Choice>
      <mc:Fallback>
        <control shapeId="14416" r:id="rId6" name="CommandButton2"/>
      </mc:Fallback>
    </mc:AlternateContent>
    <mc:AlternateContent xmlns:mc="http://schemas.openxmlformats.org/markup-compatibility/2006">
      <mc:Choice Requires="x14">
        <control shapeId="14518" r:id="rId8" name="CommandButton3">
          <controlPr autoLine="0" r:id="rId9">
            <anchor moveWithCells="1">
              <from>
                <xdr:col>5</xdr:col>
                <xdr:colOff>171450</xdr:colOff>
                <xdr:row>0</xdr:row>
                <xdr:rowOff>142875</xdr:rowOff>
              </from>
              <to>
                <xdr:col>6</xdr:col>
                <xdr:colOff>57150</xdr:colOff>
                <xdr:row>1</xdr:row>
                <xdr:rowOff>133350</xdr:rowOff>
              </to>
            </anchor>
          </controlPr>
        </control>
      </mc:Choice>
      <mc:Fallback>
        <control shapeId="14518" r:id="rId8" name="CommandButton3"/>
      </mc:Fallback>
    </mc:AlternateContent>
  </control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AD200"/>
  <sheetViews>
    <sheetView zoomScaleNormal="100" workbookViewId="0">
      <pane ySplit="4" topLeftCell="A8" activePane="bottomLeft" state="frozen"/>
      <selection pane="bottomLeft"/>
    </sheetView>
  </sheetViews>
  <sheetFormatPr defaultRowHeight="12.75"/>
  <cols>
    <col min="1" max="1" width="10.7109375" customWidth="1"/>
    <col min="2" max="2" width="19.7109375" customWidth="1"/>
    <col min="3" max="5" width="12.7109375" customWidth="1"/>
    <col min="6" max="6" width="14.7109375" bestFit="1" customWidth="1"/>
    <col min="7" max="7" width="10.7109375" customWidth="1"/>
    <col min="8" max="8" width="14.7109375" bestFit="1"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913</v>
      </c>
      <c r="B3" s="10"/>
      <c r="C3" s="10"/>
      <c r="D3" s="10"/>
      <c r="E3" s="10"/>
      <c r="F3" s="10"/>
      <c r="G3" s="10"/>
      <c r="H3" s="10"/>
      <c r="I3" s="230"/>
      <c r="J3" s="230"/>
      <c r="K3" s="230"/>
      <c r="L3" s="230"/>
      <c r="M3" s="230"/>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10"/>
      <c r="I4" s="230"/>
      <c r="J4" s="230"/>
      <c r="K4" s="230"/>
      <c r="L4" s="230"/>
      <c r="M4" s="230"/>
      <c r="N4" s="230"/>
      <c r="O4" s="230"/>
      <c r="P4" s="230"/>
      <c r="Q4" s="230"/>
      <c r="R4" s="230"/>
      <c r="S4" s="230"/>
      <c r="T4" s="230"/>
      <c r="U4" s="230"/>
      <c r="V4" s="230"/>
      <c r="W4" s="230"/>
      <c r="X4" s="230"/>
      <c r="Y4" s="230"/>
      <c r="Z4" s="230"/>
      <c r="AA4" s="230"/>
      <c r="AB4" s="230"/>
      <c r="AC4" s="230"/>
      <c r="AD4" s="230"/>
    </row>
    <row r="5" spans="1:30">
      <c r="A5" s="13" t="s">
        <v>346</v>
      </c>
      <c r="B5" s="10"/>
      <c r="C5" s="10"/>
      <c r="D5" s="10"/>
      <c r="E5" s="10"/>
      <c r="F5" s="10"/>
      <c r="G5" s="10"/>
      <c r="H5" s="10"/>
      <c r="I5" s="230"/>
      <c r="J5" s="230"/>
      <c r="K5" s="230"/>
      <c r="L5" s="230"/>
      <c r="M5" s="230"/>
      <c r="N5" s="230"/>
      <c r="O5" s="230"/>
      <c r="P5" s="230"/>
      <c r="Q5" s="230"/>
      <c r="R5" s="230"/>
      <c r="S5" s="230"/>
      <c r="T5" s="230"/>
      <c r="U5" s="230"/>
      <c r="V5" s="230"/>
      <c r="W5" s="230"/>
      <c r="X5" s="230"/>
      <c r="Y5" s="230"/>
      <c r="Z5" s="230"/>
      <c r="AA5" s="230"/>
      <c r="AB5" s="230"/>
      <c r="AC5" s="230"/>
      <c r="AD5" s="230"/>
    </row>
    <row r="6" spans="1:30" ht="30" customHeight="1">
      <c r="A6" s="1196" t="s">
        <v>830</v>
      </c>
      <c r="B6" s="1196"/>
      <c r="C6" s="1196"/>
      <c r="D6" s="1196"/>
      <c r="E6" s="1196"/>
      <c r="F6" s="1196"/>
      <c r="G6" s="1196"/>
      <c r="H6" s="1196"/>
      <c r="I6" s="230"/>
      <c r="J6" s="230"/>
      <c r="K6" s="230"/>
      <c r="L6" s="230"/>
      <c r="M6" s="230"/>
      <c r="N6" s="230"/>
      <c r="O6" s="230"/>
      <c r="P6" s="230"/>
      <c r="Q6" s="230"/>
      <c r="R6" s="230"/>
      <c r="S6" s="230"/>
      <c r="T6" s="230"/>
      <c r="U6" s="230"/>
      <c r="V6" s="230"/>
      <c r="W6" s="230"/>
      <c r="X6" s="230"/>
      <c r="Y6" s="230"/>
      <c r="Z6" s="230"/>
      <c r="AA6" s="230"/>
      <c r="AB6" s="230"/>
      <c r="AC6" s="230"/>
      <c r="AD6" s="230"/>
    </row>
    <row r="7" spans="1:30">
      <c r="A7" s="101" t="s">
        <v>687</v>
      </c>
      <c r="B7" s="10"/>
      <c r="C7" s="10"/>
      <c r="D7" s="10"/>
      <c r="E7" s="10"/>
      <c r="F7" s="10"/>
      <c r="G7" s="10"/>
      <c r="H7" s="10"/>
      <c r="I7" s="230"/>
      <c r="J7" s="230"/>
      <c r="K7" s="230"/>
      <c r="L7" s="230"/>
      <c r="M7" s="230"/>
      <c r="N7" s="230"/>
      <c r="O7" s="230"/>
      <c r="P7" s="230"/>
      <c r="Q7" s="230"/>
      <c r="R7" s="230"/>
      <c r="S7" s="230"/>
      <c r="T7" s="230"/>
      <c r="U7" s="230"/>
      <c r="V7" s="230"/>
      <c r="W7" s="230"/>
      <c r="X7" s="230"/>
      <c r="Y7" s="230"/>
      <c r="Z7" s="230"/>
      <c r="AA7" s="230"/>
      <c r="AB7" s="230"/>
      <c r="AC7" s="230"/>
      <c r="AD7" s="230"/>
    </row>
    <row r="8" spans="1:30">
      <c r="A8" s="14" t="s">
        <v>1077</v>
      </c>
      <c r="B8" s="10"/>
      <c r="C8" s="10"/>
      <c r="D8" s="10"/>
      <c r="E8" s="10"/>
      <c r="F8" s="10"/>
      <c r="G8" s="10"/>
      <c r="H8" s="10"/>
      <c r="I8" s="230"/>
      <c r="J8" s="230"/>
      <c r="K8" s="230"/>
      <c r="L8" s="230"/>
      <c r="M8" s="230"/>
      <c r="N8" s="230"/>
      <c r="O8" s="230"/>
      <c r="P8" s="230"/>
      <c r="Q8" s="230"/>
      <c r="R8" s="230"/>
      <c r="S8" s="230"/>
      <c r="T8" s="230"/>
      <c r="U8" s="230"/>
      <c r="V8" s="230"/>
      <c r="W8" s="230"/>
      <c r="X8" s="230"/>
      <c r="Y8" s="230"/>
      <c r="Z8" s="230"/>
      <c r="AA8" s="230"/>
      <c r="AB8" s="230"/>
      <c r="AC8" s="230"/>
      <c r="AD8" s="230"/>
    </row>
    <row r="9" spans="1:30">
      <c r="A9" s="14" t="s">
        <v>1078</v>
      </c>
      <c r="B9" s="10"/>
      <c r="C9" s="10"/>
      <c r="D9" s="10"/>
      <c r="E9" s="10"/>
      <c r="F9" s="10"/>
      <c r="G9" s="10"/>
      <c r="H9" s="10"/>
      <c r="I9" s="230"/>
      <c r="J9" s="230"/>
      <c r="K9" s="230"/>
      <c r="L9" s="230"/>
      <c r="M9" s="230"/>
      <c r="N9" s="230"/>
      <c r="O9" s="230"/>
      <c r="P9" s="230"/>
      <c r="Q9" s="230"/>
      <c r="R9" s="230"/>
      <c r="S9" s="230"/>
      <c r="T9" s="230"/>
      <c r="U9" s="230"/>
      <c r="V9" s="230"/>
      <c r="W9" s="230"/>
      <c r="X9" s="230"/>
      <c r="Y9" s="230"/>
      <c r="Z9" s="230"/>
      <c r="AA9" s="230"/>
      <c r="AB9" s="230"/>
      <c r="AC9" s="230"/>
      <c r="AD9" s="230"/>
    </row>
    <row r="10" spans="1:30">
      <c r="A10" s="14" t="s">
        <v>1079</v>
      </c>
      <c r="B10" s="10"/>
      <c r="C10" s="10"/>
      <c r="D10" s="10"/>
      <c r="E10" s="10"/>
      <c r="F10" s="10"/>
      <c r="G10" s="10"/>
      <c r="H10" s="10"/>
      <c r="I10" s="230"/>
      <c r="J10" s="230"/>
      <c r="K10" s="230"/>
      <c r="L10" s="230"/>
      <c r="M10" s="230"/>
      <c r="N10" s="230"/>
      <c r="O10" s="230"/>
      <c r="P10" s="230"/>
      <c r="Q10" s="230"/>
      <c r="R10" s="230"/>
      <c r="S10" s="230"/>
      <c r="T10" s="230"/>
      <c r="U10" s="230"/>
      <c r="V10" s="230"/>
      <c r="W10" s="230"/>
      <c r="X10" s="230"/>
      <c r="Y10" s="230"/>
      <c r="Z10" s="230"/>
      <c r="AA10" s="230"/>
      <c r="AB10" s="230"/>
      <c r="AC10" s="230"/>
      <c r="AD10" s="230"/>
    </row>
    <row r="11" spans="1:30" s="8" customFormat="1">
      <c r="A11" s="101" t="s">
        <v>784</v>
      </c>
      <c r="B11" s="10"/>
      <c r="C11" s="10"/>
      <c r="D11" s="10"/>
      <c r="E11" s="10"/>
      <c r="F11" s="10"/>
      <c r="G11" s="10"/>
      <c r="H11" s="10"/>
      <c r="I11" s="230"/>
      <c r="J11" s="230"/>
      <c r="K11" s="230"/>
      <c r="L11" s="230"/>
      <c r="M11" s="230"/>
      <c r="N11" s="230"/>
      <c r="O11" s="230"/>
      <c r="P11" s="230"/>
      <c r="Q11" s="230"/>
      <c r="R11" s="230"/>
      <c r="S11" s="230"/>
      <c r="T11" s="230"/>
      <c r="U11" s="230"/>
      <c r="V11" s="257"/>
      <c r="W11" s="257"/>
      <c r="X11" s="257"/>
      <c r="Y11" s="257"/>
      <c r="Z11" s="257"/>
      <c r="AA11" s="257"/>
      <c r="AB11" s="257"/>
      <c r="AC11" s="257"/>
      <c r="AD11" s="257"/>
    </row>
    <row r="12" spans="1:30" s="8" customFormat="1">
      <c r="A12" s="101"/>
      <c r="B12" s="14"/>
      <c r="C12" s="14"/>
      <c r="D12" s="14"/>
      <c r="E12" s="14"/>
      <c r="F12" s="14"/>
      <c r="G12" s="14"/>
      <c r="H12" s="14"/>
      <c r="I12" s="230"/>
      <c r="J12" s="230"/>
      <c r="K12" s="230"/>
      <c r="L12" s="230"/>
      <c r="M12" s="230"/>
      <c r="N12" s="230"/>
      <c r="O12" s="230"/>
      <c r="P12" s="230"/>
      <c r="Q12" s="230"/>
      <c r="R12" s="230"/>
      <c r="S12" s="230"/>
      <c r="T12" s="230"/>
      <c r="U12" s="230"/>
      <c r="V12" s="257"/>
      <c r="W12" s="257"/>
      <c r="X12" s="257"/>
      <c r="Y12" s="257"/>
      <c r="Z12" s="257"/>
      <c r="AA12" s="257"/>
      <c r="AB12" s="257"/>
      <c r="AC12" s="257"/>
      <c r="AD12" s="257"/>
    </row>
    <row r="13" spans="1:30">
      <c r="A13" s="13" t="s">
        <v>1127</v>
      </c>
      <c r="B13" s="10"/>
      <c r="C13" s="10"/>
      <c r="D13" s="14"/>
      <c r="E13" s="14"/>
      <c r="F13" s="14"/>
      <c r="G13" s="14"/>
      <c r="H13" s="14"/>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c r="A14" s="101" t="s">
        <v>24</v>
      </c>
      <c r="B14" s="10"/>
      <c r="C14" s="10"/>
      <c r="D14" s="10"/>
      <c r="E14" s="10"/>
      <c r="F14" s="10"/>
      <c r="G14" s="10"/>
      <c r="H14" s="1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101" t="s">
        <v>26</v>
      </c>
      <c r="B15" s="10"/>
      <c r="C15" s="10"/>
      <c r="D15" s="10"/>
      <c r="E15" s="10"/>
      <c r="F15" s="10"/>
      <c r="G15" s="10"/>
      <c r="H15" s="1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101" t="s">
        <v>25</v>
      </c>
      <c r="B16" s="10"/>
      <c r="C16" s="10"/>
      <c r="D16" s="10"/>
      <c r="E16" s="10"/>
      <c r="F16" s="10"/>
      <c r="G16" s="10"/>
      <c r="H16" s="1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101" t="s">
        <v>27</v>
      </c>
      <c r="B17" s="10"/>
      <c r="C17" s="10"/>
      <c r="D17" s="10"/>
      <c r="E17" s="10"/>
      <c r="F17" s="10"/>
      <c r="G17" s="10"/>
      <c r="H17" s="1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14" t="s">
        <v>28</v>
      </c>
      <c r="B18" s="10"/>
      <c r="C18" s="10"/>
      <c r="D18" s="10"/>
      <c r="E18" s="10"/>
      <c r="F18" s="10"/>
      <c r="G18" s="10"/>
      <c r="H18" s="10"/>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101" t="s">
        <v>29</v>
      </c>
      <c r="B19" s="10"/>
      <c r="C19" s="10"/>
      <c r="D19" s="10"/>
      <c r="E19" s="10"/>
      <c r="F19" s="10"/>
      <c r="G19" s="10"/>
      <c r="H19" s="10"/>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14" t="s">
        <v>30</v>
      </c>
      <c r="B20" s="10"/>
      <c r="C20" s="10"/>
      <c r="D20" s="10"/>
      <c r="E20" s="10"/>
      <c r="F20" s="10"/>
      <c r="G20" s="10"/>
      <c r="H20" s="10"/>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101" t="s">
        <v>105</v>
      </c>
      <c r="B21" s="10"/>
      <c r="C21" s="10"/>
      <c r="D21" s="10"/>
      <c r="E21" s="10"/>
      <c r="F21" s="10"/>
      <c r="G21" s="10"/>
      <c r="H21" s="1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101" t="s">
        <v>106</v>
      </c>
      <c r="B22" s="10"/>
      <c r="C22" s="10"/>
      <c r="D22" s="10"/>
      <c r="E22" s="10"/>
      <c r="F22" s="10"/>
      <c r="G22" s="10"/>
      <c r="H22" s="1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c r="A23" s="15"/>
      <c r="B23" s="10"/>
      <c r="C23" s="10"/>
      <c r="D23" s="10"/>
      <c r="E23" s="10"/>
      <c r="F23" s="10"/>
      <c r="G23" s="10"/>
      <c r="H23" s="1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ht="15" thickBot="1">
      <c r="A24" s="13" t="s">
        <v>1366</v>
      </c>
      <c r="B24" s="10"/>
      <c r="C24" s="10"/>
      <c r="D24" s="10"/>
      <c r="E24" s="10"/>
      <c r="F24" s="10"/>
      <c r="G24" s="10"/>
      <c r="H24" s="1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14.25">
      <c r="A25" s="20" t="s">
        <v>31</v>
      </c>
      <c r="B25" s="21" t="s">
        <v>31</v>
      </c>
      <c r="C25" s="21" t="s">
        <v>111</v>
      </c>
      <c r="D25" s="21" t="s">
        <v>112</v>
      </c>
      <c r="E25" s="21" t="s">
        <v>114</v>
      </c>
      <c r="F25" s="22" t="s">
        <v>466</v>
      </c>
      <c r="G25" s="10"/>
      <c r="H25" s="1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c r="A26" s="39"/>
      <c r="B26" s="28" t="s">
        <v>137</v>
      </c>
      <c r="C26" s="28" t="s">
        <v>103</v>
      </c>
      <c r="D26" s="28" t="s">
        <v>113</v>
      </c>
      <c r="E26" s="28" t="s">
        <v>103</v>
      </c>
      <c r="F26" s="29" t="s">
        <v>184</v>
      </c>
      <c r="G26" s="10"/>
      <c r="H26" s="1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ht="13.5" thickBot="1">
      <c r="A27" s="23"/>
      <c r="B27" s="24"/>
      <c r="C27" s="24" t="s">
        <v>198</v>
      </c>
      <c r="D27" s="24" t="s">
        <v>198</v>
      </c>
      <c r="E27" s="24" t="s">
        <v>198</v>
      </c>
      <c r="F27" s="25" t="s">
        <v>198</v>
      </c>
      <c r="G27" s="10"/>
      <c r="H27" s="1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ht="15.75">
      <c r="A28" s="56" t="s">
        <v>201</v>
      </c>
      <c r="B28" s="113">
        <f t="shared" ref="B28:B35" si="0">VLOOKUP(A28,GWP,2,FALSE)</f>
        <v>1</v>
      </c>
      <c r="C28" s="516"/>
      <c r="D28" s="516"/>
      <c r="E28" s="516"/>
      <c r="F28" s="517" t="str">
        <f>IF(($C28+$D28+$E28)*$B28=0,"",($C28+$D28+$E28)*$B28)</f>
        <v/>
      </c>
      <c r="G28" s="10"/>
      <c r="H28" s="1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c r="A29" s="3" t="s">
        <v>129</v>
      </c>
      <c r="B29" s="5">
        <f t="shared" si="0"/>
        <v>14800</v>
      </c>
      <c r="C29" s="518"/>
      <c r="D29" s="518"/>
      <c r="E29" s="518"/>
      <c r="F29" s="519" t="str">
        <f t="shared" ref="F29:F35" si="1">IF(($C29+$D29+$E29)*$B29=0,"",($C29+$D29+$E29)*$B29)</f>
        <v/>
      </c>
      <c r="G29" s="10"/>
      <c r="H29" s="1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c r="A30" s="3" t="s">
        <v>131</v>
      </c>
      <c r="B30" s="5">
        <f t="shared" si="0"/>
        <v>3500</v>
      </c>
      <c r="C30" s="518"/>
      <c r="D30" s="518"/>
      <c r="E30" s="518"/>
      <c r="F30" s="519" t="str">
        <f t="shared" si="1"/>
        <v/>
      </c>
      <c r="G30" s="10"/>
      <c r="H30" s="1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3" t="s">
        <v>132</v>
      </c>
      <c r="B31" s="5">
        <f t="shared" si="0"/>
        <v>1430</v>
      </c>
      <c r="C31" s="518"/>
      <c r="D31" s="518"/>
      <c r="E31" s="518"/>
      <c r="F31" s="519" t="str">
        <f t="shared" si="1"/>
        <v/>
      </c>
      <c r="G31" s="10"/>
      <c r="H31" s="1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3" t="s">
        <v>135</v>
      </c>
      <c r="B32" s="5">
        <f t="shared" si="0"/>
        <v>3220</v>
      </c>
      <c r="C32" s="518"/>
      <c r="D32" s="518"/>
      <c r="E32" s="518"/>
      <c r="F32" s="519" t="str">
        <f t="shared" si="1"/>
        <v/>
      </c>
      <c r="G32" s="10"/>
      <c r="H32" s="1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449" t="s">
        <v>136</v>
      </c>
      <c r="B33" s="5">
        <f t="shared" si="0"/>
        <v>9810</v>
      </c>
      <c r="C33" s="518"/>
      <c r="D33" s="518"/>
      <c r="E33" s="518"/>
      <c r="F33" s="519" t="str">
        <f t="shared" si="1"/>
        <v/>
      </c>
      <c r="G33" s="10"/>
      <c r="H33" s="1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ht="15.75">
      <c r="A34" s="449" t="s">
        <v>1072</v>
      </c>
      <c r="B34" s="5">
        <f t="shared" si="0"/>
        <v>7390</v>
      </c>
      <c r="C34" s="518"/>
      <c r="D34" s="518"/>
      <c r="E34" s="518"/>
      <c r="F34" s="519" t="str">
        <f t="shared" si="1"/>
        <v/>
      </c>
      <c r="G34" s="10"/>
      <c r="H34" s="1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ht="16.5" thickBot="1">
      <c r="A35" s="842" t="s">
        <v>626</v>
      </c>
      <c r="B35" s="114">
        <f t="shared" si="0"/>
        <v>8860</v>
      </c>
      <c r="C35" s="521"/>
      <c r="D35" s="521"/>
      <c r="E35" s="521"/>
      <c r="F35" s="522" t="str">
        <f t="shared" si="1"/>
        <v/>
      </c>
      <c r="G35" s="10"/>
      <c r="H35" s="1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c r="A36" s="15"/>
      <c r="B36" s="10"/>
      <c r="C36" s="10"/>
      <c r="D36" s="10"/>
      <c r="E36" s="10"/>
      <c r="F36" s="10"/>
      <c r="G36" s="10"/>
      <c r="H36" s="1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13" t="s">
        <v>1130</v>
      </c>
      <c r="B37" s="10"/>
      <c r="C37" s="10"/>
      <c r="D37" s="10"/>
      <c r="E37" s="10"/>
      <c r="F37" s="10"/>
      <c r="G37" s="10"/>
      <c r="H37" s="1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101" t="s">
        <v>84</v>
      </c>
      <c r="B38" s="10"/>
      <c r="C38" s="10"/>
      <c r="D38" s="10"/>
      <c r="E38" s="10"/>
      <c r="F38" s="10"/>
      <c r="G38" s="10"/>
      <c r="H38" s="1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c r="A39" s="101" t="s">
        <v>814</v>
      </c>
      <c r="B39" s="10"/>
      <c r="C39" s="10"/>
      <c r="D39" s="10"/>
      <c r="E39" s="10"/>
      <c r="F39" s="10"/>
      <c r="G39" s="10"/>
      <c r="H39" s="1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14" t="s">
        <v>1128</v>
      </c>
      <c r="B40" s="10"/>
      <c r="C40" s="10"/>
      <c r="D40" s="10"/>
      <c r="E40" s="10"/>
      <c r="F40" s="10"/>
      <c r="G40" s="10"/>
      <c r="H40" s="1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101" t="s">
        <v>2</v>
      </c>
      <c r="B41" s="10"/>
      <c r="C41" s="10"/>
      <c r="D41" s="10"/>
      <c r="E41" s="10"/>
      <c r="F41" s="10"/>
      <c r="G41" s="10"/>
      <c r="H41" s="1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101" t="s">
        <v>85</v>
      </c>
      <c r="B42" s="10"/>
      <c r="C42" s="10"/>
      <c r="D42" s="10"/>
      <c r="E42" s="10"/>
      <c r="F42" s="10"/>
      <c r="G42" s="10"/>
      <c r="H42" s="1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10"/>
      <c r="B43" s="10"/>
      <c r="C43" s="10"/>
      <c r="D43" s="10"/>
      <c r="E43" s="10"/>
      <c r="F43" s="10"/>
      <c r="G43" s="10"/>
      <c r="H43" s="1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ht="15" thickBot="1">
      <c r="A44" s="13" t="s">
        <v>1367</v>
      </c>
      <c r="B44" s="10"/>
      <c r="C44" s="10"/>
      <c r="D44" s="10"/>
      <c r="E44" s="10"/>
      <c r="F44" s="10"/>
      <c r="G44" s="10"/>
      <c r="H44" s="1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ht="14.25">
      <c r="A45" s="20"/>
      <c r="B45" s="21"/>
      <c r="C45" s="1231" t="s">
        <v>117</v>
      </c>
      <c r="D45" s="1232"/>
      <c r="E45" s="115" t="s">
        <v>118</v>
      </c>
      <c r="F45" s="1231" t="s">
        <v>119</v>
      </c>
      <c r="G45" s="1232"/>
      <c r="H45" s="22" t="s">
        <v>466</v>
      </c>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39" t="s">
        <v>31</v>
      </c>
      <c r="B46" s="28" t="s">
        <v>31</v>
      </c>
      <c r="C46" s="116" t="s">
        <v>86</v>
      </c>
      <c r="D46" s="116" t="s">
        <v>114</v>
      </c>
      <c r="E46" s="116" t="s">
        <v>87</v>
      </c>
      <c r="F46" s="116" t="s">
        <v>114</v>
      </c>
      <c r="G46" s="116" t="s">
        <v>120</v>
      </c>
      <c r="H46" s="29" t="s">
        <v>184</v>
      </c>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ht="13.5" thickBot="1">
      <c r="A47" s="23"/>
      <c r="B47" s="24" t="s">
        <v>137</v>
      </c>
      <c r="C47" s="24" t="s">
        <v>198</v>
      </c>
      <c r="D47" s="24" t="s">
        <v>198</v>
      </c>
      <c r="E47" s="24" t="s">
        <v>198</v>
      </c>
      <c r="F47" s="24" t="s">
        <v>198</v>
      </c>
      <c r="G47" s="24" t="s">
        <v>198</v>
      </c>
      <c r="H47" s="25" t="s">
        <v>198</v>
      </c>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ht="15.75">
      <c r="A48" s="56" t="s">
        <v>201</v>
      </c>
      <c r="B48" s="113">
        <f t="shared" ref="B48:B55" si="2">VLOOKUP(A48,GWP,2,FALSE)</f>
        <v>1</v>
      </c>
      <c r="C48" s="124"/>
      <c r="D48" s="124"/>
      <c r="E48" s="124"/>
      <c r="F48" s="124"/>
      <c r="G48" s="124"/>
      <c r="H48" s="145" t="str">
        <f>IF(($C48-$D48+$E48+$F48-$G48)*$B48=0,"",($C48-$D48+$E48+$F48-$G48)*$B48)</f>
        <v/>
      </c>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3" t="s">
        <v>129</v>
      </c>
      <c r="B49" s="5">
        <f t="shared" si="2"/>
        <v>14800</v>
      </c>
      <c r="C49" s="125"/>
      <c r="D49" s="125"/>
      <c r="E49" s="125"/>
      <c r="F49" s="125"/>
      <c r="G49" s="125"/>
      <c r="H49" s="146" t="str">
        <f t="shared" ref="H49:H55" si="3">IF(($C49-$D49+$E49+$F49-$G49)*$B49=0,"",($C49-$D49+$E49+$F49-$G49)*$B49)</f>
        <v/>
      </c>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3" t="s">
        <v>131</v>
      </c>
      <c r="B50" s="5">
        <f t="shared" si="2"/>
        <v>3500</v>
      </c>
      <c r="C50" s="125"/>
      <c r="D50" s="125"/>
      <c r="E50" s="125"/>
      <c r="F50" s="125"/>
      <c r="G50" s="125"/>
      <c r="H50" s="146" t="str">
        <f t="shared" si="3"/>
        <v/>
      </c>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3" t="s">
        <v>132</v>
      </c>
      <c r="B51" s="5">
        <f t="shared" si="2"/>
        <v>1430</v>
      </c>
      <c r="C51" s="125"/>
      <c r="D51" s="125"/>
      <c r="E51" s="125"/>
      <c r="F51" s="125"/>
      <c r="G51" s="125"/>
      <c r="H51" s="146" t="str">
        <f t="shared" si="3"/>
        <v/>
      </c>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3" t="s">
        <v>135</v>
      </c>
      <c r="B52" s="5">
        <f t="shared" si="2"/>
        <v>3220</v>
      </c>
      <c r="C52" s="125"/>
      <c r="D52" s="125"/>
      <c r="E52" s="125"/>
      <c r="F52" s="125"/>
      <c r="G52" s="125"/>
      <c r="H52" s="146" t="str">
        <f t="shared" si="3"/>
        <v/>
      </c>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3" t="s">
        <v>136</v>
      </c>
      <c r="B53" s="5">
        <f t="shared" si="2"/>
        <v>9810</v>
      </c>
      <c r="C53" s="125"/>
      <c r="D53" s="125"/>
      <c r="E53" s="125"/>
      <c r="F53" s="125"/>
      <c r="G53" s="125"/>
      <c r="H53" s="146" t="str">
        <f t="shared" si="3"/>
        <v/>
      </c>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ht="15.75">
      <c r="A54" s="449" t="s">
        <v>1072</v>
      </c>
      <c r="B54" s="5">
        <f t="shared" si="2"/>
        <v>7390</v>
      </c>
      <c r="C54" s="125"/>
      <c r="D54" s="125"/>
      <c r="E54" s="125"/>
      <c r="F54" s="125"/>
      <c r="G54" s="125"/>
      <c r="H54" s="146" t="str">
        <f t="shared" si="3"/>
        <v/>
      </c>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ht="16.5" thickBot="1">
      <c r="A55" s="842" t="s">
        <v>626</v>
      </c>
      <c r="B55" s="114">
        <f t="shared" si="2"/>
        <v>8860</v>
      </c>
      <c r="C55" s="126"/>
      <c r="D55" s="126"/>
      <c r="E55" s="126"/>
      <c r="F55" s="126"/>
      <c r="G55" s="126"/>
      <c r="H55" s="147" t="str">
        <f t="shared" si="3"/>
        <v/>
      </c>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78"/>
      <c r="B56" s="78"/>
      <c r="C56" s="96"/>
      <c r="D56" s="96"/>
      <c r="E56" s="96"/>
      <c r="F56" s="96"/>
      <c r="G56" s="96"/>
      <c r="H56" s="106"/>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13" t="s">
        <v>371</v>
      </c>
      <c r="B57" s="10"/>
      <c r="C57" s="10"/>
      <c r="D57" s="10"/>
      <c r="E57" s="10"/>
      <c r="F57" s="10"/>
      <c r="G57" s="10"/>
      <c r="H57" s="1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101" t="s">
        <v>33</v>
      </c>
      <c r="B58" s="10"/>
      <c r="C58" s="10"/>
      <c r="D58" s="10"/>
      <c r="E58" s="10"/>
      <c r="F58" s="10"/>
      <c r="G58" s="10"/>
      <c r="H58" s="1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101" t="s">
        <v>38</v>
      </c>
      <c r="B59" s="10"/>
      <c r="C59" s="10"/>
      <c r="D59" s="10"/>
      <c r="E59" s="10"/>
      <c r="F59" s="10"/>
      <c r="G59" s="10"/>
      <c r="H59" s="1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101" t="s">
        <v>40</v>
      </c>
      <c r="B60" s="10"/>
      <c r="C60" s="10"/>
      <c r="D60" s="10"/>
      <c r="E60" s="10"/>
      <c r="F60" s="10"/>
      <c r="G60" s="10"/>
      <c r="H60" s="1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101" t="s">
        <v>39</v>
      </c>
      <c r="B61" s="10"/>
      <c r="C61" s="10"/>
      <c r="D61" s="10"/>
      <c r="E61" s="10"/>
      <c r="F61" s="10"/>
      <c r="G61" s="10"/>
      <c r="H61" s="1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101" t="s">
        <v>815</v>
      </c>
      <c r="B62" s="10"/>
      <c r="C62" s="10"/>
      <c r="D62" s="10"/>
      <c r="E62" s="10"/>
      <c r="F62" s="10"/>
      <c r="G62" s="10"/>
      <c r="H62" s="1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78"/>
      <c r="B63" s="78"/>
      <c r="C63" s="10"/>
      <c r="D63" s="10"/>
      <c r="E63" s="10"/>
      <c r="F63" s="10"/>
      <c r="G63" s="10"/>
      <c r="H63" s="1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ht="15" thickBot="1">
      <c r="A64" s="13" t="s">
        <v>7</v>
      </c>
      <c r="B64" s="78"/>
      <c r="C64" s="10"/>
      <c r="D64" s="10"/>
      <c r="E64" s="10"/>
      <c r="F64" s="10"/>
      <c r="G64" s="10"/>
      <c r="H64" s="1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ht="14.25">
      <c r="A65" s="20" t="s">
        <v>163</v>
      </c>
      <c r="B65" s="21" t="s">
        <v>35</v>
      </c>
      <c r="C65" s="21" t="s">
        <v>31</v>
      </c>
      <c r="D65" s="21" t="s">
        <v>31</v>
      </c>
      <c r="E65" s="21" t="s">
        <v>32</v>
      </c>
      <c r="F65" s="22" t="s">
        <v>466</v>
      </c>
      <c r="G65" s="10"/>
      <c r="H65" s="1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39" t="s">
        <v>166</v>
      </c>
      <c r="B66" s="28" t="s">
        <v>34</v>
      </c>
      <c r="C66" s="28" t="s">
        <v>238</v>
      </c>
      <c r="D66" s="28" t="s">
        <v>137</v>
      </c>
      <c r="E66" s="28" t="s">
        <v>114</v>
      </c>
      <c r="F66" s="29" t="s">
        <v>184</v>
      </c>
      <c r="G66" s="10"/>
      <c r="H66" s="1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ht="13.5" thickBot="1">
      <c r="A67" s="23"/>
      <c r="B67" s="24" t="s">
        <v>36</v>
      </c>
      <c r="C67" s="24"/>
      <c r="D67" s="24"/>
      <c r="E67" s="24" t="s">
        <v>185</v>
      </c>
      <c r="F67" s="25" t="s">
        <v>185</v>
      </c>
      <c r="G67" s="257"/>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651" t="s">
        <v>19</v>
      </c>
      <c r="B68" s="642" t="s">
        <v>37</v>
      </c>
      <c r="C68" s="642" t="s">
        <v>132</v>
      </c>
      <c r="D68" s="643">
        <f t="shared" ref="D68:D104" si="4">IF($C68="","",VLOOKUP(C68,GWP,2,FALSE))</f>
        <v>1430</v>
      </c>
      <c r="E68" s="642">
        <v>1.3</v>
      </c>
      <c r="F68" s="650">
        <f>IF($B68="Fixed",$D68*Fixed_FireLeakRate*$E68,IF($B68="Portable",$D68*Portable_FireLeakRate*$E68,""))</f>
        <v>65.065000000000012</v>
      </c>
      <c r="G68" s="10"/>
      <c r="H68" s="1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9"/>
      <c r="B69" s="240"/>
      <c r="C69" s="240"/>
      <c r="D69" s="206" t="str">
        <f t="shared" si="4"/>
        <v/>
      </c>
      <c r="E69" s="249"/>
      <c r="F69" s="243" t="str">
        <f>IF($B69="Fixed",$D69*Fixed_FireLeakRate*$E69,IF($B69="Portable",$D69*Portable_FireLeakRate*$E69,""))</f>
        <v/>
      </c>
      <c r="G69" s="10"/>
      <c r="H69" s="1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133"/>
      <c r="B70" s="37"/>
      <c r="C70" s="37"/>
      <c r="D70" s="80" t="str">
        <f t="shared" si="4"/>
        <v/>
      </c>
      <c r="E70" s="125"/>
      <c r="F70" s="146" t="str">
        <f t="shared" ref="F70:F104" si="5">IF($B70="Fixed",$D70*0.015*$E70,IF($B70="Portable",$D70*0.02*$E70,""))</f>
        <v/>
      </c>
      <c r="G70" s="10"/>
      <c r="H70" s="1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133"/>
      <c r="B71" s="37"/>
      <c r="C71" s="37"/>
      <c r="D71" s="80" t="str">
        <f t="shared" si="4"/>
        <v/>
      </c>
      <c r="E71" s="125"/>
      <c r="F71" s="146" t="str">
        <f t="shared" si="5"/>
        <v/>
      </c>
      <c r="G71" s="10"/>
      <c r="H71" s="1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133"/>
      <c r="B72" s="37"/>
      <c r="C72" s="37"/>
      <c r="D72" s="80" t="str">
        <f t="shared" si="4"/>
        <v/>
      </c>
      <c r="E72" s="125"/>
      <c r="F72" s="146" t="str">
        <f t="shared" si="5"/>
        <v/>
      </c>
      <c r="G72" s="10"/>
      <c r="H72" s="1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133"/>
      <c r="B73" s="37"/>
      <c r="C73" s="37"/>
      <c r="D73" s="80" t="str">
        <f t="shared" si="4"/>
        <v/>
      </c>
      <c r="E73" s="125"/>
      <c r="F73" s="146" t="str">
        <f t="shared" si="5"/>
        <v/>
      </c>
      <c r="G73" s="10"/>
      <c r="H73" s="1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133"/>
      <c r="B74" s="37"/>
      <c r="C74" s="37"/>
      <c r="D74" s="80" t="str">
        <f t="shared" si="4"/>
        <v/>
      </c>
      <c r="E74" s="125"/>
      <c r="F74" s="146" t="str">
        <f t="shared" si="5"/>
        <v/>
      </c>
      <c r="G74" s="10"/>
      <c r="H74" s="1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133"/>
      <c r="B75" s="37"/>
      <c r="C75" s="37"/>
      <c r="D75" s="80" t="str">
        <f t="shared" si="4"/>
        <v/>
      </c>
      <c r="E75" s="125"/>
      <c r="F75" s="146" t="str">
        <f t="shared" si="5"/>
        <v/>
      </c>
      <c r="G75" s="10"/>
      <c r="H75" s="1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133"/>
      <c r="B76" s="37"/>
      <c r="C76" s="37"/>
      <c r="D76" s="80" t="str">
        <f t="shared" si="4"/>
        <v/>
      </c>
      <c r="E76" s="125"/>
      <c r="F76" s="146" t="str">
        <f t="shared" si="5"/>
        <v/>
      </c>
      <c r="G76" s="10"/>
      <c r="H76" s="1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133"/>
      <c r="B77" s="37"/>
      <c r="C77" s="37"/>
      <c r="D77" s="80" t="str">
        <f t="shared" si="4"/>
        <v/>
      </c>
      <c r="E77" s="125"/>
      <c r="F77" s="146" t="str">
        <f t="shared" si="5"/>
        <v/>
      </c>
      <c r="G77" s="10"/>
      <c r="H77" s="1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133"/>
      <c r="B78" s="37"/>
      <c r="C78" s="37"/>
      <c r="D78" s="80" t="str">
        <f t="shared" si="4"/>
        <v/>
      </c>
      <c r="E78" s="125"/>
      <c r="F78" s="146" t="str">
        <f t="shared" si="5"/>
        <v/>
      </c>
      <c r="G78" s="10"/>
      <c r="H78" s="1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133"/>
      <c r="B79" s="37"/>
      <c r="C79" s="37"/>
      <c r="D79" s="80" t="str">
        <f t="shared" si="4"/>
        <v/>
      </c>
      <c r="E79" s="125"/>
      <c r="F79" s="146" t="str">
        <f t="shared" si="5"/>
        <v/>
      </c>
      <c r="G79" s="10"/>
      <c r="H79" s="1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133"/>
      <c r="B80" s="37"/>
      <c r="C80" s="37"/>
      <c r="D80" s="80" t="str">
        <f t="shared" si="4"/>
        <v/>
      </c>
      <c r="E80" s="125"/>
      <c r="F80" s="146" t="str">
        <f t="shared" si="5"/>
        <v/>
      </c>
      <c r="G80" s="10"/>
      <c r="H80" s="1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133"/>
      <c r="B81" s="37"/>
      <c r="C81" s="37"/>
      <c r="D81" s="80" t="str">
        <f t="shared" si="4"/>
        <v/>
      </c>
      <c r="E81" s="125"/>
      <c r="F81" s="146" t="str">
        <f t="shared" si="5"/>
        <v/>
      </c>
      <c r="G81" s="10"/>
      <c r="H81" s="1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133"/>
      <c r="B82" s="37"/>
      <c r="C82" s="37"/>
      <c r="D82" s="80" t="str">
        <f t="shared" si="4"/>
        <v/>
      </c>
      <c r="E82" s="125"/>
      <c r="F82" s="146" t="str">
        <f t="shared" si="5"/>
        <v/>
      </c>
      <c r="G82" s="10"/>
      <c r="H82" s="1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133"/>
      <c r="B83" s="37"/>
      <c r="C83" s="37"/>
      <c r="D83" s="80" t="str">
        <f t="shared" si="4"/>
        <v/>
      </c>
      <c r="E83" s="125"/>
      <c r="F83" s="146" t="str">
        <f t="shared" si="5"/>
        <v/>
      </c>
      <c r="G83" s="10"/>
      <c r="H83" s="1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133"/>
      <c r="B84" s="37"/>
      <c r="C84" s="37"/>
      <c r="D84" s="80" t="str">
        <f t="shared" si="4"/>
        <v/>
      </c>
      <c r="E84" s="125"/>
      <c r="F84" s="146" t="str">
        <f t="shared" si="5"/>
        <v/>
      </c>
      <c r="G84" s="10"/>
      <c r="H84" s="1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133"/>
      <c r="B85" s="37"/>
      <c r="C85" s="37"/>
      <c r="D85" s="80" t="str">
        <f t="shared" si="4"/>
        <v/>
      </c>
      <c r="E85" s="125"/>
      <c r="F85" s="146" t="str">
        <f t="shared" si="5"/>
        <v/>
      </c>
      <c r="G85" s="10"/>
      <c r="H85" s="1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133"/>
      <c r="B86" s="37"/>
      <c r="C86" s="37"/>
      <c r="D86" s="80" t="str">
        <f t="shared" si="4"/>
        <v/>
      </c>
      <c r="E86" s="125"/>
      <c r="F86" s="146" t="str">
        <f t="shared" si="5"/>
        <v/>
      </c>
      <c r="G86" s="10"/>
      <c r="H86" s="1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133"/>
      <c r="B87" s="37"/>
      <c r="C87" s="37"/>
      <c r="D87" s="80" t="str">
        <f t="shared" si="4"/>
        <v/>
      </c>
      <c r="E87" s="125"/>
      <c r="F87" s="146" t="str">
        <f t="shared" si="5"/>
        <v/>
      </c>
      <c r="G87" s="10"/>
      <c r="H87" s="1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133"/>
      <c r="B88" s="37"/>
      <c r="C88" s="37"/>
      <c r="D88" s="80" t="str">
        <f t="shared" si="4"/>
        <v/>
      </c>
      <c r="E88" s="125"/>
      <c r="F88" s="146" t="str">
        <f t="shared" si="5"/>
        <v/>
      </c>
      <c r="G88" s="10"/>
      <c r="H88" s="1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133"/>
      <c r="B89" s="37"/>
      <c r="C89" s="37"/>
      <c r="D89" s="80" t="str">
        <f t="shared" si="4"/>
        <v/>
      </c>
      <c r="E89" s="125"/>
      <c r="F89" s="146" t="str">
        <f t="shared" si="5"/>
        <v/>
      </c>
      <c r="G89" s="10"/>
      <c r="H89" s="1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133"/>
      <c r="B90" s="37"/>
      <c r="C90" s="37"/>
      <c r="D90" s="80" t="str">
        <f t="shared" si="4"/>
        <v/>
      </c>
      <c r="E90" s="125"/>
      <c r="F90" s="146" t="str">
        <f t="shared" si="5"/>
        <v/>
      </c>
      <c r="G90" s="10"/>
      <c r="H90" s="1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133"/>
      <c r="B91" s="37"/>
      <c r="C91" s="37"/>
      <c r="D91" s="80" t="str">
        <f t="shared" si="4"/>
        <v/>
      </c>
      <c r="E91" s="125"/>
      <c r="F91" s="146" t="str">
        <f t="shared" si="5"/>
        <v/>
      </c>
      <c r="G91" s="10"/>
      <c r="H91" s="1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133"/>
      <c r="B92" s="37"/>
      <c r="C92" s="37"/>
      <c r="D92" s="80" t="str">
        <f t="shared" si="4"/>
        <v/>
      </c>
      <c r="E92" s="125"/>
      <c r="F92" s="146" t="str">
        <f t="shared" si="5"/>
        <v/>
      </c>
      <c r="G92" s="10"/>
      <c r="H92" s="1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133"/>
      <c r="B93" s="37"/>
      <c r="C93" s="37"/>
      <c r="D93" s="80" t="str">
        <f t="shared" si="4"/>
        <v/>
      </c>
      <c r="E93" s="125"/>
      <c r="F93" s="146" t="str">
        <f t="shared" si="5"/>
        <v/>
      </c>
      <c r="G93" s="10"/>
      <c r="H93" s="1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133"/>
      <c r="B94" s="37"/>
      <c r="C94" s="37"/>
      <c r="D94" s="80" t="str">
        <f t="shared" si="4"/>
        <v/>
      </c>
      <c r="E94" s="125"/>
      <c r="F94" s="146" t="str">
        <f t="shared" si="5"/>
        <v/>
      </c>
      <c r="G94" s="10"/>
      <c r="H94" s="1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133"/>
      <c r="B95" s="37"/>
      <c r="C95" s="37"/>
      <c r="D95" s="80" t="str">
        <f t="shared" si="4"/>
        <v/>
      </c>
      <c r="E95" s="125"/>
      <c r="F95" s="146" t="str">
        <f t="shared" si="5"/>
        <v/>
      </c>
      <c r="G95" s="10"/>
      <c r="H95" s="1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133"/>
      <c r="B96" s="37"/>
      <c r="C96" s="37"/>
      <c r="D96" s="80" t="str">
        <f t="shared" si="4"/>
        <v/>
      </c>
      <c r="E96" s="125"/>
      <c r="F96" s="146" t="str">
        <f t="shared" si="5"/>
        <v/>
      </c>
      <c r="G96" s="10"/>
      <c r="H96" s="1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133"/>
      <c r="B97" s="37"/>
      <c r="C97" s="37"/>
      <c r="D97" s="80" t="str">
        <f t="shared" si="4"/>
        <v/>
      </c>
      <c r="E97" s="125"/>
      <c r="F97" s="146" t="str">
        <f t="shared" si="5"/>
        <v/>
      </c>
      <c r="G97" s="10"/>
      <c r="H97" s="1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133"/>
      <c r="B98" s="37"/>
      <c r="C98" s="37"/>
      <c r="D98" s="80" t="str">
        <f t="shared" si="4"/>
        <v/>
      </c>
      <c r="E98" s="125"/>
      <c r="F98" s="146" t="str">
        <f t="shared" si="5"/>
        <v/>
      </c>
      <c r="G98" s="10"/>
      <c r="H98" s="1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133"/>
      <c r="B99" s="37"/>
      <c r="C99" s="37"/>
      <c r="D99" s="80" t="str">
        <f t="shared" si="4"/>
        <v/>
      </c>
      <c r="E99" s="125"/>
      <c r="F99" s="146" t="str">
        <f t="shared" si="5"/>
        <v/>
      </c>
      <c r="G99" s="10"/>
      <c r="H99" s="1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133"/>
      <c r="B100" s="37"/>
      <c r="C100" s="37"/>
      <c r="D100" s="80" t="str">
        <f t="shared" si="4"/>
        <v/>
      </c>
      <c r="E100" s="125"/>
      <c r="F100" s="146" t="str">
        <f t="shared" si="5"/>
        <v/>
      </c>
      <c r="G100" s="10"/>
      <c r="H100" s="1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133"/>
      <c r="B101" s="37"/>
      <c r="C101" s="37"/>
      <c r="D101" s="80" t="str">
        <f t="shared" si="4"/>
        <v/>
      </c>
      <c r="E101" s="125"/>
      <c r="F101" s="146" t="str">
        <f t="shared" si="5"/>
        <v/>
      </c>
      <c r="G101" s="10"/>
      <c r="H101" s="1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133"/>
      <c r="B102" s="37"/>
      <c r="C102" s="37"/>
      <c r="D102" s="80" t="str">
        <f t="shared" si="4"/>
        <v/>
      </c>
      <c r="E102" s="125"/>
      <c r="F102" s="146" t="str">
        <f t="shared" si="5"/>
        <v/>
      </c>
      <c r="G102" s="10"/>
      <c r="H102" s="1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133"/>
      <c r="B103" s="37"/>
      <c r="C103" s="37"/>
      <c r="D103" s="80" t="str">
        <f t="shared" si="4"/>
        <v/>
      </c>
      <c r="E103" s="125"/>
      <c r="F103" s="146" t="str">
        <f t="shared" si="5"/>
        <v/>
      </c>
      <c r="G103" s="10"/>
      <c r="H103" s="1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ht="13.5" thickBot="1">
      <c r="A104" s="134"/>
      <c r="B104" s="135"/>
      <c r="C104" s="135"/>
      <c r="D104" s="84" t="str">
        <f t="shared" si="4"/>
        <v/>
      </c>
      <c r="E104" s="126"/>
      <c r="F104" s="147" t="str">
        <f t="shared" si="5"/>
        <v/>
      </c>
      <c r="G104" s="10"/>
      <c r="H104" s="10"/>
      <c r="I104" s="230"/>
      <c r="J104" s="465"/>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10"/>
      <c r="B105" s="10"/>
      <c r="C105" s="10"/>
      <c r="D105" s="10"/>
      <c r="E105" s="10"/>
      <c r="F105" s="10"/>
      <c r="G105" s="10"/>
      <c r="H105" s="10"/>
      <c r="I105" s="230"/>
      <c r="J105" s="465"/>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356" t="s">
        <v>377</v>
      </c>
      <c r="B106" s="331"/>
      <c r="C106" s="331"/>
      <c r="D106" s="331"/>
      <c r="E106" s="331"/>
      <c r="F106" s="331"/>
      <c r="G106" s="230"/>
      <c r="H106" s="230"/>
      <c r="I106" s="230"/>
      <c r="J106" s="465"/>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ht="13.5" thickBot="1">
      <c r="A107" s="13"/>
      <c r="B107" s="10"/>
      <c r="C107" s="10"/>
      <c r="D107" s="10"/>
      <c r="E107" s="10"/>
      <c r="F107" s="10"/>
      <c r="G107" s="10"/>
      <c r="H107" s="10"/>
      <c r="I107" s="230"/>
      <c r="J107" s="465"/>
      <c r="K107" s="465"/>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30"/>
      <c r="B108" s="31"/>
      <c r="C108" s="31"/>
      <c r="D108" s="35"/>
      <c r="E108" s="35"/>
      <c r="F108" s="51"/>
      <c r="G108" s="10"/>
      <c r="H108" s="1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ht="15" thickBot="1">
      <c r="A109" s="33" t="s">
        <v>561</v>
      </c>
      <c r="B109" s="34"/>
      <c r="C109" s="34"/>
      <c r="D109" s="36"/>
      <c r="E109" s="36"/>
      <c r="F109" s="224">
        <f>(((SUM($F$28:$F$35)+SUM($H$48:$H$55))*kg_per_lb)+SUM($F$69:$F$104))/1000</f>
        <v>0</v>
      </c>
      <c r="G109" s="10"/>
      <c r="H109" s="1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428" t="s">
        <v>138</v>
      </c>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103" t="s">
        <v>958</v>
      </c>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104" t="s">
        <v>959</v>
      </c>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680" t="s">
        <v>960</v>
      </c>
      <c r="B114" s="2"/>
      <c r="C114" s="2"/>
      <c r="D114" s="2"/>
      <c r="E114" s="2"/>
      <c r="F114" s="2"/>
      <c r="G114" s="2"/>
      <c r="H114" s="2"/>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428" t="s">
        <v>777</v>
      </c>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row r="200" spans="1:30">
      <c r="A200" s="230"/>
      <c r="B200" s="230"/>
      <c r="C200" s="230"/>
      <c r="D200" s="230"/>
      <c r="E200" s="230"/>
      <c r="F200" s="230"/>
      <c r="G200" s="230"/>
      <c r="H200" s="230"/>
      <c r="I200" s="230"/>
      <c r="J200" s="230"/>
      <c r="K200" s="230"/>
      <c r="L200" s="230"/>
      <c r="M200" s="230"/>
      <c r="N200" s="230"/>
      <c r="O200" s="230"/>
      <c r="P200" s="230"/>
      <c r="Q200" s="230"/>
      <c r="R200" s="230"/>
      <c r="S200" s="230"/>
      <c r="T200" s="230"/>
      <c r="U200" s="230"/>
      <c r="V200" s="230"/>
      <c r="W200" s="230"/>
      <c r="X200" s="230"/>
      <c r="Y200" s="230"/>
      <c r="Z200" s="230"/>
      <c r="AA200" s="230"/>
      <c r="AB200" s="230"/>
      <c r="AC200" s="230"/>
      <c r="AD200" s="230"/>
    </row>
  </sheetData>
  <sheetProtection sheet="1" objects="1" scenarios="1"/>
  <mergeCells count="3">
    <mergeCell ref="C45:D45"/>
    <mergeCell ref="F45:G45"/>
    <mergeCell ref="A6:H6"/>
  </mergeCells>
  <phoneticPr fontId="12" type="noConversion"/>
  <dataValidations count="2">
    <dataValidation type="list" allowBlank="1" showInputMessage="1" showErrorMessage="1" sqref="B69:B104" xr:uid="{00000000-0002-0000-0600-000000000000}">
      <formula1>FireSupp_Equip</formula1>
    </dataValidation>
    <dataValidation type="list" allowBlank="1" showInputMessage="1" showErrorMessage="1" sqref="C69:C104" xr:uid="{00000000-0002-0000-0600-000001000000}">
      <formula1>FireSupp_Gas</formula1>
    </dataValidation>
  </dataValidations>
  <pageMargins left="0.25" right="0.25" top="0.25" bottom="0.5" header="0.5" footer="0.25"/>
  <pageSetup scale="88" orientation="portrait" r:id="rId1"/>
  <headerFooter alignWithMargins="0">
    <oddFooter>&amp;L&amp;"Arial,Italic"&amp;9EPA Climate Leaders Simplified GHG Emissions Calculator (Direct 4.0)&amp;R&amp;"Arial,Italic"&amp;9&amp;P of &amp;N</oddFooter>
  </headerFooter>
  <rowBreaks count="1" manualBreakCount="1">
    <brk id="55" max="16383" man="1"/>
  </rowBreaks>
  <colBreaks count="1" manualBreakCount="1">
    <brk id="9" max="1048575" man="1"/>
  </colBreaks>
  <drawing r:id="rId2"/>
  <legacyDrawing r:id="rId3"/>
  <controls>
    <mc:AlternateContent xmlns:mc="http://schemas.openxmlformats.org/markup-compatibility/2006">
      <mc:Choice Requires="x14">
        <control shapeId="15430" r:id="rId4" name="CommandButton1">
          <controlPr autoLine="0" r:id="rId5">
            <anchor>
              <from>
                <xdr:col>1</xdr:col>
                <xdr:colOff>0</xdr:colOff>
                <xdr:row>0</xdr:row>
                <xdr:rowOff>142875</xdr:rowOff>
              </from>
              <to>
                <xdr:col>1</xdr:col>
                <xdr:colOff>914400</xdr:colOff>
                <xdr:row>1</xdr:row>
                <xdr:rowOff>142875</xdr:rowOff>
              </to>
            </anchor>
          </controlPr>
        </control>
      </mc:Choice>
      <mc:Fallback>
        <control shapeId="15430" r:id="rId4" name="CommandButton1"/>
      </mc:Fallback>
    </mc:AlternateContent>
    <mc:AlternateContent xmlns:mc="http://schemas.openxmlformats.org/markup-compatibility/2006">
      <mc:Choice Requires="x14">
        <control shapeId="15431" r:id="rId6" name="CommandButton2">
          <controlPr autoLine="0" r:id="rId7">
            <anchor>
              <from>
                <xdr:col>1</xdr:col>
                <xdr:colOff>1114425</xdr:colOff>
                <xdr:row>0</xdr:row>
                <xdr:rowOff>133350</xdr:rowOff>
              </from>
              <to>
                <xdr:col>3</xdr:col>
                <xdr:colOff>247650</xdr:colOff>
                <xdr:row>1</xdr:row>
                <xdr:rowOff>133350</xdr:rowOff>
              </to>
            </anchor>
          </controlPr>
        </control>
      </mc:Choice>
      <mc:Fallback>
        <control shapeId="15431" r:id="rId6" name="CommandButton2"/>
      </mc:Fallback>
    </mc:AlternateContent>
    <mc:AlternateContent xmlns:mc="http://schemas.openxmlformats.org/markup-compatibility/2006">
      <mc:Choice Requires="x14">
        <control shapeId="15531" r:id="rId8" name="CommandButton3">
          <controlPr autoLine="0" r:id="rId9">
            <anchor moveWithCells="1">
              <from>
                <xdr:col>5</xdr:col>
                <xdr:colOff>314325</xdr:colOff>
                <xdr:row>0</xdr:row>
                <xdr:rowOff>142875</xdr:rowOff>
              </from>
              <to>
                <xdr:col>6</xdr:col>
                <xdr:colOff>266700</xdr:colOff>
                <xdr:row>1</xdr:row>
                <xdr:rowOff>133350</xdr:rowOff>
              </to>
            </anchor>
          </controlPr>
        </control>
      </mc:Choice>
      <mc:Fallback>
        <control shapeId="15531" r:id="rId8" name="CommandButton3"/>
      </mc:Fallback>
    </mc:AlternateContent>
  </control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dimension ref="A1:AD198"/>
  <sheetViews>
    <sheetView zoomScaleNormal="100" zoomScaleSheetLayoutView="100" workbookViewId="0">
      <pane ySplit="4" topLeftCell="A5" activePane="bottomLeft" state="frozen"/>
      <selection pane="bottomLeft" activeCell="A15" sqref="A15"/>
    </sheetView>
  </sheetViews>
  <sheetFormatPr defaultRowHeight="12.75"/>
  <cols>
    <col min="1" max="1" width="10.7109375" customWidth="1"/>
    <col min="2" max="2" width="24.7109375" customWidth="1"/>
    <col min="3" max="3" width="10.7109375" customWidth="1"/>
    <col min="4" max="4" width="14.7109375" bestFit="1" customWidth="1"/>
    <col min="5" max="5" width="13.28515625" customWidth="1"/>
    <col min="6" max="6" width="15.7109375" customWidth="1"/>
    <col min="7" max="7" width="10.7109375" customWidth="1"/>
    <col min="8" max="8" width="15.7109375" customWidth="1"/>
    <col min="9" max="9" width="22" customWidth="1"/>
    <col min="17" max="17" width="20" bestFit="1" customWidth="1"/>
    <col min="18" max="18" width="22" bestFit="1" customWidth="1"/>
    <col min="19" max="19" width="23.5703125" bestFit="1" customWidth="1"/>
    <col min="20" max="20" width="19.85546875" bestFit="1" customWidth="1"/>
    <col min="21" max="21" width="19.5703125" bestFit="1" customWidth="1"/>
    <col min="22" max="22" width="15.7109375" customWidth="1"/>
    <col min="23" max="23" width="24.7109375" bestFit="1" customWidth="1"/>
    <col min="24" max="24" width="12.42578125" bestFit="1" customWidth="1"/>
    <col min="25" max="25" width="23.5703125" bestFit="1"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256" t="s">
        <v>914</v>
      </c>
      <c r="B3" s="230"/>
      <c r="C3" s="230"/>
      <c r="D3" s="230"/>
      <c r="E3" s="230"/>
      <c r="F3" s="230"/>
      <c r="G3" s="23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230"/>
      <c r="B4" s="230"/>
      <c r="C4" s="230"/>
      <c r="D4" s="230"/>
      <c r="E4" s="230"/>
      <c r="F4" s="230"/>
      <c r="G4" s="23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229" t="s">
        <v>346</v>
      </c>
      <c r="B5" s="230"/>
      <c r="C5" s="230"/>
      <c r="D5" s="230"/>
      <c r="E5" s="230"/>
      <c r="F5" s="230"/>
      <c r="G5" s="230"/>
      <c r="H5" s="230"/>
      <c r="I5" s="230"/>
      <c r="J5" s="230"/>
      <c r="K5" s="230"/>
      <c r="L5" s="230"/>
      <c r="M5" s="230"/>
      <c r="N5" s="230"/>
      <c r="O5" s="230"/>
      <c r="P5" s="230"/>
      <c r="Q5" s="230"/>
      <c r="R5" s="230"/>
      <c r="S5" s="230"/>
      <c r="T5" s="230"/>
      <c r="U5" s="230"/>
      <c r="V5" s="230"/>
      <c r="W5" s="230"/>
      <c r="X5" s="230"/>
      <c r="Y5" s="230"/>
      <c r="Z5" s="230"/>
      <c r="AA5" s="230"/>
      <c r="AB5" s="230"/>
      <c r="AC5" s="230"/>
      <c r="AD5" s="230"/>
    </row>
    <row r="6" spans="1:30" ht="38.25" customHeight="1">
      <c r="A6" s="1196" t="s">
        <v>816</v>
      </c>
      <c r="B6" s="1196"/>
      <c r="C6" s="1196"/>
      <c r="D6" s="1196"/>
      <c r="E6" s="1196"/>
      <c r="F6" s="1196"/>
      <c r="G6" s="1196"/>
      <c r="H6" s="1196"/>
      <c r="I6" s="230"/>
      <c r="J6" s="230"/>
      <c r="K6" s="230"/>
      <c r="L6" s="230"/>
      <c r="M6" s="230"/>
      <c r="N6" s="230"/>
      <c r="O6" s="230"/>
      <c r="P6" s="230"/>
      <c r="Q6" s="230"/>
      <c r="R6" s="230"/>
      <c r="S6" s="230"/>
      <c r="T6" s="230"/>
      <c r="U6" s="230"/>
      <c r="V6" s="230"/>
      <c r="W6" s="230"/>
      <c r="X6" s="230"/>
      <c r="Y6" s="230"/>
      <c r="Z6" s="230"/>
      <c r="AA6" s="230"/>
      <c r="AB6" s="230"/>
      <c r="AC6" s="230"/>
      <c r="AD6" s="230"/>
    </row>
    <row r="7" spans="1:30" ht="30" customHeight="1">
      <c r="A7" s="1196" t="s">
        <v>785</v>
      </c>
      <c r="B7" s="1196"/>
      <c r="C7" s="1196"/>
      <c r="D7" s="1196"/>
      <c r="E7" s="1196"/>
      <c r="F7" s="1196"/>
      <c r="G7" s="1196"/>
      <c r="H7" s="1196"/>
      <c r="I7" s="230"/>
      <c r="J7" s="230"/>
      <c r="K7" s="230"/>
      <c r="L7" s="230"/>
      <c r="M7" s="230"/>
      <c r="N7" s="230"/>
      <c r="O7" s="230"/>
      <c r="P7" s="230"/>
      <c r="Q7" s="230"/>
      <c r="R7" s="230"/>
      <c r="S7" s="230"/>
      <c r="T7" s="230"/>
      <c r="U7" s="230"/>
      <c r="V7" s="230"/>
      <c r="W7" s="230"/>
      <c r="X7" s="230"/>
      <c r="Y7" s="230"/>
      <c r="Z7" s="230"/>
      <c r="AA7" s="230"/>
      <c r="AB7" s="230"/>
      <c r="AC7" s="230"/>
      <c r="AD7" s="230"/>
    </row>
    <row r="8" spans="1:30" ht="29.25" customHeight="1">
      <c r="A8" s="1196" t="s">
        <v>644</v>
      </c>
      <c r="B8" s="1196"/>
      <c r="C8" s="1196"/>
      <c r="D8" s="1196"/>
      <c r="E8" s="1196"/>
      <c r="F8" s="1196"/>
      <c r="G8" s="1196"/>
      <c r="H8" s="1196"/>
      <c r="I8" s="230"/>
      <c r="J8" s="230"/>
      <c r="K8" s="230"/>
      <c r="L8" s="230"/>
      <c r="M8" s="230"/>
      <c r="N8" s="230"/>
      <c r="O8" s="230"/>
      <c r="P8" s="230"/>
      <c r="Q8" s="230"/>
      <c r="R8" s="230"/>
      <c r="S8" s="230"/>
      <c r="T8" s="230"/>
      <c r="U8" s="230"/>
      <c r="V8" s="230"/>
      <c r="W8" s="230"/>
      <c r="X8" s="230"/>
      <c r="Y8" s="230"/>
      <c r="Z8" s="230"/>
      <c r="AA8" s="230"/>
      <c r="AB8" s="230"/>
      <c r="AC8" s="230"/>
      <c r="AD8" s="230"/>
    </row>
    <row r="9" spans="1:30" ht="15.75" customHeight="1">
      <c r="A9" s="283" t="s">
        <v>552</v>
      </c>
      <c r="B9" s="230"/>
      <c r="C9" s="230"/>
      <c r="D9" s="230"/>
      <c r="E9" s="230"/>
      <c r="F9" s="230"/>
      <c r="G9" s="230"/>
      <c r="H9" s="230"/>
      <c r="I9" s="230"/>
      <c r="J9" s="230"/>
      <c r="K9" s="230"/>
      <c r="L9" s="230"/>
      <c r="M9" s="230"/>
      <c r="N9" s="230"/>
      <c r="O9" s="230"/>
      <c r="P9" s="230"/>
      <c r="Q9" s="230"/>
      <c r="R9" s="230"/>
      <c r="S9" s="230"/>
      <c r="T9" s="230"/>
      <c r="U9" s="230"/>
      <c r="V9" s="230"/>
      <c r="W9" s="230"/>
      <c r="X9" s="230"/>
      <c r="Y9" s="230"/>
      <c r="Z9" s="230"/>
      <c r="AA9" s="230"/>
      <c r="AB9" s="230"/>
      <c r="AC9" s="230"/>
      <c r="AD9" s="230"/>
    </row>
    <row r="10" spans="1:30" s="8" customFormat="1" ht="15" customHeight="1">
      <c r="A10" s="101"/>
      <c r="B10" s="14"/>
      <c r="C10" s="14"/>
      <c r="D10" s="14"/>
      <c r="E10" s="14"/>
      <c r="F10" s="257"/>
      <c r="G10" s="257"/>
      <c r="H10" s="257"/>
      <c r="I10" s="257"/>
      <c r="J10" s="257"/>
      <c r="K10" s="257"/>
      <c r="L10" s="257"/>
      <c r="M10" s="257"/>
      <c r="N10" s="257"/>
      <c r="O10" s="257"/>
      <c r="P10" s="257"/>
      <c r="Q10" s="257"/>
      <c r="R10" s="257"/>
      <c r="S10" s="257"/>
      <c r="T10" s="257"/>
      <c r="U10" s="257"/>
      <c r="V10" s="257"/>
      <c r="W10" s="257"/>
      <c r="X10" s="257"/>
      <c r="Y10" s="257"/>
      <c r="Z10" s="257"/>
      <c r="AA10" s="257"/>
      <c r="AB10" s="257"/>
      <c r="AC10" s="257"/>
      <c r="AD10" s="257"/>
    </row>
    <row r="11" spans="1:30" ht="13.5" thickBot="1">
      <c r="A11" s="13" t="s">
        <v>549</v>
      </c>
      <c r="B11" s="10"/>
      <c r="C11" s="10"/>
      <c r="D11" s="10"/>
      <c r="E11" s="1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row>
    <row r="12" spans="1:30" ht="14.25">
      <c r="A12" s="20" t="s">
        <v>31</v>
      </c>
      <c r="B12" s="21" t="s">
        <v>31</v>
      </c>
      <c r="C12" s="21" t="s">
        <v>74</v>
      </c>
      <c r="D12" s="22" t="s">
        <v>466</v>
      </c>
      <c r="E12" s="1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39"/>
      <c r="B13" s="28" t="s">
        <v>137</v>
      </c>
      <c r="C13" s="28" t="s">
        <v>113</v>
      </c>
      <c r="D13" s="29" t="s">
        <v>184</v>
      </c>
      <c r="E13" s="1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ht="13.5" thickBot="1">
      <c r="A14" s="23"/>
      <c r="B14" s="24"/>
      <c r="C14" s="24" t="s">
        <v>198</v>
      </c>
      <c r="D14" s="25" t="s">
        <v>198</v>
      </c>
      <c r="E14" s="10"/>
      <c r="F14" s="230"/>
      <c r="G14" s="23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c r="A15" s="537"/>
      <c r="B15" s="567" t="str">
        <f>IF(A15="","",VLOOKUP(A15,GWP,2,FALSE))</f>
        <v/>
      </c>
      <c r="C15" s="568"/>
      <c r="D15" s="565" t="str">
        <f>IF(B15="", "",B15*C15)</f>
        <v/>
      </c>
      <c r="E15" s="10"/>
      <c r="F15" s="230"/>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c r="A16" s="539"/>
      <c r="B16" s="273" t="str">
        <f t="shared" ref="B16:B25" si="0">IF(A16="","",VLOOKUP(A16,GWP,2,FALSE))</f>
        <v/>
      </c>
      <c r="C16" s="518"/>
      <c r="D16" s="519" t="str">
        <f t="shared" ref="D16:D25" si="1">IF(B16="", "",B16*C16)</f>
        <v/>
      </c>
      <c r="E16" s="10"/>
      <c r="F16" s="472"/>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539"/>
      <c r="B17" s="273" t="str">
        <f t="shared" si="0"/>
        <v/>
      </c>
      <c r="C17" s="518"/>
      <c r="D17" s="519" t="str">
        <f t="shared" si="1"/>
        <v/>
      </c>
      <c r="E17" s="10"/>
      <c r="F17" s="472"/>
      <c r="G17" s="23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c r="A18" s="539"/>
      <c r="B18" s="273" t="str">
        <f t="shared" si="0"/>
        <v/>
      </c>
      <c r="C18" s="518"/>
      <c r="D18" s="519" t="str">
        <f t="shared" si="1"/>
        <v/>
      </c>
      <c r="E18" s="10"/>
      <c r="F18" s="472"/>
      <c r="G18" s="23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539"/>
      <c r="B19" s="273" t="str">
        <f t="shared" si="0"/>
        <v/>
      </c>
      <c r="C19" s="518"/>
      <c r="D19" s="519" t="str">
        <f t="shared" si="1"/>
        <v/>
      </c>
      <c r="E19" s="10"/>
      <c r="F19" s="230"/>
      <c r="G19" s="230"/>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539"/>
      <c r="B20" s="273" t="str">
        <f t="shared" si="0"/>
        <v/>
      </c>
      <c r="C20" s="518"/>
      <c r="D20" s="519" t="str">
        <f t="shared" si="1"/>
        <v/>
      </c>
      <c r="E20" s="10"/>
      <c r="F20" s="230"/>
      <c r="G20" s="230"/>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c r="A21" s="539"/>
      <c r="B21" s="273" t="str">
        <f t="shared" si="0"/>
        <v/>
      </c>
      <c r="C21" s="518"/>
      <c r="D21" s="519" t="str">
        <f t="shared" si="1"/>
        <v/>
      </c>
      <c r="E21" s="1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539"/>
      <c r="B22" s="273" t="str">
        <f t="shared" si="0"/>
        <v/>
      </c>
      <c r="C22" s="518"/>
      <c r="D22" s="519" t="str">
        <f t="shared" si="1"/>
        <v/>
      </c>
      <c r="E22" s="10"/>
      <c r="F22" s="230"/>
      <c r="G22" s="230"/>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c r="A23" s="539"/>
      <c r="B23" s="273" t="str">
        <f t="shared" si="0"/>
        <v/>
      </c>
      <c r="C23" s="518"/>
      <c r="D23" s="519" t="str">
        <f t="shared" si="1"/>
        <v/>
      </c>
      <c r="E23" s="10"/>
      <c r="F23" s="230"/>
      <c r="G23" s="230"/>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c r="A24" s="539"/>
      <c r="B24" s="273" t="str">
        <f t="shared" si="0"/>
        <v/>
      </c>
      <c r="C24" s="518"/>
      <c r="D24" s="519" t="str">
        <f t="shared" si="1"/>
        <v/>
      </c>
      <c r="E24" s="10"/>
      <c r="F24" s="230"/>
      <c r="G24" s="230"/>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13.5" thickBot="1">
      <c r="A25" s="540"/>
      <c r="B25" s="520" t="str">
        <f t="shared" si="0"/>
        <v/>
      </c>
      <c r="C25" s="521"/>
      <c r="D25" s="522" t="str">
        <f t="shared" si="1"/>
        <v/>
      </c>
      <c r="E25" s="10"/>
      <c r="F25" s="230"/>
      <c r="G25" s="230"/>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c r="A26" s="15"/>
      <c r="B26" s="10"/>
      <c r="C26" s="10"/>
      <c r="D26" s="10"/>
      <c r="E26" s="10"/>
      <c r="F26" s="230"/>
      <c r="G26" s="230"/>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c r="A27" s="356" t="s">
        <v>377</v>
      </c>
      <c r="B27" s="331"/>
      <c r="C27" s="331"/>
      <c r="D27" s="331"/>
      <c r="E27" s="331"/>
      <c r="F27" s="230"/>
      <c r="G27" s="230"/>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ht="13.5" thickBot="1">
      <c r="A28" s="13"/>
      <c r="B28" s="10"/>
      <c r="C28" s="10"/>
      <c r="D28" s="10"/>
      <c r="E28" s="10"/>
      <c r="F28" s="230"/>
      <c r="G28" s="230"/>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c r="A29" s="30"/>
      <c r="B29" s="31"/>
      <c r="C29" s="31"/>
      <c r="D29" s="35"/>
      <c r="E29" s="51"/>
      <c r="F29" s="230"/>
      <c r="G29" s="230"/>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ht="15" thickBot="1">
      <c r="A30" s="33" t="s">
        <v>562</v>
      </c>
      <c r="B30" s="34"/>
      <c r="C30" s="34"/>
      <c r="D30" s="36"/>
      <c r="E30" s="231">
        <f>SUM(D15:D25)*kg_per_lb/1000</f>
        <v>0</v>
      </c>
      <c r="F30" s="230"/>
      <c r="G30" s="230"/>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c r="A31" s="10"/>
      <c r="B31" s="10"/>
      <c r="C31" s="10"/>
      <c r="D31" s="10"/>
      <c r="E31" s="1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c r="A32" s="428" t="s">
        <v>138</v>
      </c>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c r="A33" s="428" t="s">
        <v>773</v>
      </c>
      <c r="B33" s="230"/>
      <c r="C33" s="230"/>
      <c r="D33" s="230"/>
      <c r="E33" s="230"/>
      <c r="F33" s="230"/>
      <c r="G33" s="230"/>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c r="A34" s="230"/>
      <c r="B34" s="230"/>
      <c r="C34" s="230"/>
      <c r="D34" s="230"/>
      <c r="E34" s="230"/>
      <c r="F34" s="230"/>
      <c r="G34" s="230"/>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c r="A35" s="230"/>
      <c r="B35" s="230"/>
      <c r="C35" s="230"/>
      <c r="D35" s="230"/>
      <c r="E35" s="230"/>
      <c r="F35" s="230"/>
      <c r="G35" s="230"/>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c r="A36" s="324"/>
      <c r="B36" s="324"/>
      <c r="C36" s="324"/>
      <c r="D36" s="324"/>
      <c r="E36" s="324"/>
      <c r="F36" s="324"/>
      <c r="G36" s="324"/>
      <c r="H36" s="324"/>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c r="A37" s="230"/>
      <c r="B37" s="230"/>
      <c r="C37" s="230"/>
      <c r="D37" s="230"/>
      <c r="E37" s="230"/>
      <c r="F37" s="230"/>
      <c r="G37" s="230"/>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230"/>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c r="A39" s="230"/>
      <c r="B39" s="230"/>
      <c r="C39" s="230"/>
      <c r="D39" s="230"/>
      <c r="E39" s="230"/>
      <c r="F39" s="230"/>
      <c r="G39" s="230"/>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230"/>
      <c r="B40" s="230"/>
      <c r="C40" s="230"/>
      <c r="D40" s="230"/>
      <c r="E40" s="230"/>
      <c r="F40" s="230"/>
      <c r="G40" s="23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230"/>
      <c r="B41" s="230"/>
      <c r="C41" s="230"/>
      <c r="D41" s="230"/>
      <c r="E41" s="230"/>
      <c r="F41" s="230"/>
      <c r="G41" s="23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230"/>
      <c r="B42" s="230"/>
      <c r="C42" s="230"/>
      <c r="D42" s="230"/>
      <c r="E42" s="230"/>
      <c r="F42" s="230"/>
      <c r="G42" s="23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230"/>
      <c r="B43" s="230"/>
      <c r="C43" s="230"/>
      <c r="D43" s="230"/>
      <c r="E43" s="230"/>
      <c r="F43" s="230"/>
      <c r="G43" s="23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c r="A44" s="230"/>
      <c r="B44" s="230"/>
      <c r="C44" s="230"/>
      <c r="D44" s="230"/>
      <c r="E44" s="230"/>
      <c r="F44" s="230"/>
      <c r="G44" s="230"/>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c r="A45" s="230"/>
      <c r="B45" s="230"/>
      <c r="C45" s="230"/>
      <c r="D45" s="230"/>
      <c r="E45" s="230"/>
      <c r="F45" s="230"/>
      <c r="G45" s="23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230"/>
      <c r="B46" s="230"/>
      <c r="C46" s="230"/>
      <c r="D46" s="230"/>
      <c r="E46" s="230"/>
      <c r="F46" s="230"/>
      <c r="G46" s="23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c r="A47" s="230"/>
      <c r="B47" s="230"/>
      <c r="C47" s="230"/>
      <c r="D47" s="230"/>
      <c r="E47" s="230"/>
      <c r="F47" s="230"/>
      <c r="G47" s="23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230"/>
      <c r="B48" s="230"/>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230"/>
      <c r="B49" s="230"/>
      <c r="C49" s="230"/>
      <c r="D49" s="230"/>
      <c r="E49" s="230"/>
      <c r="F49" s="230"/>
      <c r="G49" s="23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230"/>
      <c r="B50" s="230"/>
      <c r="C50" s="230"/>
      <c r="D50" s="230"/>
      <c r="E50" s="230"/>
      <c r="F50" s="230"/>
      <c r="G50" s="23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230"/>
      <c r="B51" s="230"/>
      <c r="C51" s="230"/>
      <c r="D51" s="230"/>
      <c r="E51" s="230"/>
      <c r="F51" s="230"/>
      <c r="G51" s="23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230"/>
      <c r="B52" s="230"/>
      <c r="C52" s="230"/>
      <c r="D52" s="230"/>
      <c r="E52" s="230"/>
      <c r="F52" s="230"/>
      <c r="G52" s="23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230"/>
      <c r="B53" s="230"/>
      <c r="C53" s="230"/>
      <c r="D53" s="230"/>
      <c r="E53" s="230"/>
      <c r="F53" s="230"/>
      <c r="G53" s="23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230"/>
      <c r="B54" s="230"/>
      <c r="C54" s="230"/>
      <c r="D54" s="230"/>
      <c r="E54" s="230"/>
      <c r="F54" s="230"/>
      <c r="G54" s="23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230"/>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230"/>
      <c r="B56" s="230"/>
      <c r="C56" s="230"/>
      <c r="D56" s="230"/>
      <c r="E56" s="230"/>
      <c r="F56" s="230"/>
      <c r="G56" s="23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230"/>
      <c r="B57" s="230"/>
      <c r="C57" s="230"/>
      <c r="D57" s="230"/>
      <c r="E57" s="230"/>
      <c r="F57" s="230"/>
      <c r="G57" s="23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sheetData>
  <sheetProtection sheet="1"/>
  <mergeCells count="3">
    <mergeCell ref="A6:H6"/>
    <mergeCell ref="A7:H7"/>
    <mergeCell ref="A8:H8"/>
  </mergeCells>
  <dataValidations count="1">
    <dataValidation type="list" allowBlank="1" showInputMessage="1" showErrorMessage="1" sqref="A15:A25" xr:uid="{00000000-0002-0000-0700-000000000000}">
      <formula1>GHGs</formula1>
    </dataValidation>
  </dataValidations>
  <pageMargins left="0.25" right="0.25" top="0.25" bottom="0.5" header="0.5" footer="0.25"/>
  <pageSetup scale="89" orientation="portrait" r:id="rId1"/>
  <headerFooter alignWithMargins="0">
    <oddFooter>&amp;L&amp;"Arial,Italic"&amp;9EPA Climate Leaders Simplified GHG Emissions Calculator (Direct 3.0)&amp;R&amp;"Arial,Italic"&amp;9&amp;P of &amp;N</oddFooter>
  </headerFooter>
  <colBreaks count="1" manualBreakCount="1">
    <brk id="8" max="1048575" man="1"/>
  </colBreaks>
  <drawing r:id="rId2"/>
  <legacyDrawing r:id="rId3"/>
  <controls>
    <mc:AlternateContent xmlns:mc="http://schemas.openxmlformats.org/markup-compatibility/2006">
      <mc:Choice Requires="x14">
        <control shapeId="45057" r:id="rId4" name="CommandButton1">
          <controlPr autoLine="0" r:id="rId5">
            <anchor>
              <from>
                <xdr:col>1</xdr:col>
                <xdr:colOff>0</xdr:colOff>
                <xdr:row>0</xdr:row>
                <xdr:rowOff>142875</xdr:rowOff>
              </from>
              <to>
                <xdr:col>1</xdr:col>
                <xdr:colOff>914400</xdr:colOff>
                <xdr:row>1</xdr:row>
                <xdr:rowOff>142875</xdr:rowOff>
              </to>
            </anchor>
          </controlPr>
        </control>
      </mc:Choice>
      <mc:Fallback>
        <control shapeId="45057" r:id="rId4" name="CommandButton1"/>
      </mc:Fallback>
    </mc:AlternateContent>
    <mc:AlternateContent xmlns:mc="http://schemas.openxmlformats.org/markup-compatibility/2006">
      <mc:Choice Requires="x14">
        <control shapeId="45058" r:id="rId6" name="CommandButton2">
          <controlPr autoLine="0" r:id="rId7">
            <anchor>
              <from>
                <xdr:col>1</xdr:col>
                <xdr:colOff>1114425</xdr:colOff>
                <xdr:row>0</xdr:row>
                <xdr:rowOff>133350</xdr:rowOff>
              </from>
              <to>
                <xdr:col>3</xdr:col>
                <xdr:colOff>47625</xdr:colOff>
                <xdr:row>1</xdr:row>
                <xdr:rowOff>133350</xdr:rowOff>
              </to>
            </anchor>
          </controlPr>
        </control>
      </mc:Choice>
      <mc:Fallback>
        <control shapeId="45058" r:id="rId6" name="CommandButton2"/>
      </mc:Fallback>
    </mc:AlternateContent>
    <mc:AlternateContent xmlns:mc="http://schemas.openxmlformats.org/markup-compatibility/2006">
      <mc:Choice Requires="x14">
        <control shapeId="45059" r:id="rId8" name="CommandButton3">
          <controlPr autoLine="0" r:id="rId9">
            <anchor moveWithCells="1">
              <from>
                <xdr:col>5</xdr:col>
                <xdr:colOff>171450</xdr:colOff>
                <xdr:row>0</xdr:row>
                <xdr:rowOff>142875</xdr:rowOff>
              </from>
              <to>
                <xdr:col>6</xdr:col>
                <xdr:colOff>57150</xdr:colOff>
                <xdr:row>1</xdr:row>
                <xdr:rowOff>133350</xdr:rowOff>
              </to>
            </anchor>
          </controlPr>
        </control>
      </mc:Choice>
      <mc:Fallback>
        <control shapeId="45059" r:id="rId8" name="CommandButton3"/>
      </mc:Fallback>
    </mc:AlternateContent>
  </control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AD199"/>
  <sheetViews>
    <sheetView zoomScaleNormal="100" workbookViewId="0">
      <pane ySplit="4" topLeftCell="A5" activePane="bottomLeft" state="frozen"/>
      <selection pane="bottomLeft"/>
    </sheetView>
  </sheetViews>
  <sheetFormatPr defaultRowHeight="12.75"/>
  <cols>
    <col min="1" max="1" width="20.7109375" customWidth="1"/>
    <col min="2" max="2" width="15.7109375" customWidth="1"/>
    <col min="3" max="3" width="11.7109375" customWidth="1"/>
    <col min="4" max="4" width="16.140625" customWidth="1"/>
    <col min="5" max="5" width="12.7109375" customWidth="1"/>
    <col min="6" max="6" width="15.7109375" customWidth="1"/>
    <col min="7" max="7" width="14.7109375" customWidth="1"/>
    <col min="8" max="8" width="4.7109375" customWidth="1"/>
  </cols>
  <sheetData>
    <row r="1" spans="1:30" ht="24.95" customHeight="1">
      <c r="A1" s="230"/>
      <c r="B1" s="230"/>
      <c r="C1" s="230"/>
      <c r="D1" s="230"/>
      <c r="E1" s="230"/>
      <c r="F1" s="230"/>
      <c r="G1" s="230"/>
      <c r="H1" s="230"/>
      <c r="I1" s="230"/>
      <c r="J1" s="230"/>
      <c r="K1" s="230"/>
      <c r="L1" s="230"/>
      <c r="M1" s="230"/>
      <c r="N1" s="230"/>
      <c r="O1" s="230"/>
      <c r="P1" s="230"/>
      <c r="Q1" s="230"/>
      <c r="R1" s="230"/>
      <c r="S1" s="230"/>
      <c r="T1" s="230"/>
      <c r="U1" s="230"/>
      <c r="V1" s="230"/>
      <c r="W1" s="230"/>
      <c r="X1" s="230"/>
      <c r="Y1" s="230"/>
      <c r="Z1" s="230"/>
      <c r="AA1" s="230"/>
      <c r="AB1" s="230"/>
      <c r="AC1" s="230"/>
      <c r="AD1" s="230"/>
    </row>
    <row r="2" spans="1:30" ht="24.95" customHeight="1">
      <c r="A2" s="230"/>
      <c r="B2" s="230"/>
      <c r="C2" s="230"/>
      <c r="D2" s="230"/>
      <c r="E2" s="230"/>
      <c r="F2" s="230"/>
      <c r="G2" s="230"/>
      <c r="H2" s="230"/>
      <c r="I2" s="230"/>
      <c r="J2" s="230"/>
      <c r="K2" s="230"/>
      <c r="L2" s="230"/>
      <c r="M2" s="230"/>
      <c r="N2" s="230"/>
      <c r="O2" s="230"/>
      <c r="P2" s="230"/>
      <c r="Q2" s="230"/>
      <c r="R2" s="230"/>
      <c r="S2" s="230"/>
      <c r="T2" s="230"/>
      <c r="U2" s="230"/>
      <c r="V2" s="230"/>
      <c r="W2" s="230"/>
      <c r="X2" s="230"/>
      <c r="Y2" s="230"/>
      <c r="Z2" s="230"/>
      <c r="AA2" s="230"/>
      <c r="AB2" s="230"/>
      <c r="AC2" s="230"/>
      <c r="AD2" s="230"/>
    </row>
    <row r="3" spans="1:30" ht="15">
      <c r="A3" s="11" t="s">
        <v>915</v>
      </c>
      <c r="B3" s="10"/>
      <c r="C3" s="10"/>
      <c r="D3" s="10"/>
      <c r="E3" s="10"/>
      <c r="F3" s="10"/>
      <c r="G3" s="10"/>
      <c r="H3" s="230"/>
      <c r="I3" s="230"/>
      <c r="J3" s="230"/>
      <c r="K3" s="230"/>
      <c r="L3" s="230"/>
      <c r="M3" s="230"/>
      <c r="N3" s="230"/>
      <c r="O3" s="230"/>
      <c r="P3" s="230"/>
      <c r="Q3" s="230"/>
      <c r="R3" s="230"/>
      <c r="S3" s="230"/>
      <c r="T3" s="230"/>
      <c r="U3" s="230"/>
      <c r="V3" s="230"/>
      <c r="W3" s="230"/>
      <c r="X3" s="230"/>
      <c r="Y3" s="230"/>
      <c r="Z3" s="230"/>
      <c r="AA3" s="230"/>
      <c r="AB3" s="230"/>
      <c r="AC3" s="230"/>
      <c r="AD3" s="230"/>
    </row>
    <row r="4" spans="1:30">
      <c r="A4" s="10"/>
      <c r="B4" s="10"/>
      <c r="C4" s="10"/>
      <c r="D4" s="10"/>
      <c r="E4" s="10"/>
      <c r="F4" s="10"/>
      <c r="G4" s="10"/>
      <c r="H4" s="230"/>
      <c r="I4" s="230"/>
      <c r="J4" s="230"/>
      <c r="K4" s="230"/>
      <c r="L4" s="230"/>
      <c r="M4" s="230"/>
      <c r="N4" s="230"/>
      <c r="O4" s="230"/>
      <c r="P4" s="230"/>
      <c r="Q4" s="230"/>
      <c r="R4" s="230"/>
      <c r="S4" s="230"/>
      <c r="T4" s="230"/>
      <c r="U4" s="230"/>
      <c r="V4" s="230"/>
      <c r="W4" s="230"/>
      <c r="X4" s="230"/>
      <c r="Y4" s="230"/>
      <c r="Z4" s="230"/>
      <c r="AA4" s="230"/>
      <c r="AB4" s="230"/>
      <c r="AC4" s="230"/>
      <c r="AD4" s="230"/>
    </row>
    <row r="5" spans="1:30">
      <c r="A5" s="229" t="s">
        <v>346</v>
      </c>
      <c r="B5" s="10"/>
      <c r="C5" s="10"/>
      <c r="D5" s="10"/>
      <c r="E5" s="10"/>
      <c r="F5" s="10"/>
      <c r="G5" s="10"/>
      <c r="H5" s="230"/>
      <c r="I5" s="230"/>
      <c r="J5" s="230"/>
      <c r="K5" s="230"/>
      <c r="L5" s="230"/>
      <c r="M5" s="230"/>
      <c r="N5" s="230"/>
      <c r="O5" s="230"/>
      <c r="P5" s="230"/>
      <c r="Q5" s="230"/>
      <c r="R5" s="230"/>
      <c r="S5" s="230"/>
      <c r="T5" s="230"/>
      <c r="U5" s="230"/>
      <c r="V5" s="230"/>
      <c r="W5" s="230"/>
      <c r="X5" s="230"/>
      <c r="Y5" s="230"/>
      <c r="Z5" s="230"/>
      <c r="AA5" s="230"/>
      <c r="AB5" s="230"/>
      <c r="AC5" s="230"/>
      <c r="AD5" s="230"/>
    </row>
    <row r="6" spans="1:30" ht="33.75" customHeight="1">
      <c r="A6" s="1196" t="s">
        <v>1147</v>
      </c>
      <c r="B6" s="1196"/>
      <c r="C6" s="1196"/>
      <c r="D6" s="1196"/>
      <c r="E6" s="1196"/>
      <c r="F6" s="1196"/>
      <c r="G6" s="1196"/>
      <c r="H6" s="230"/>
      <c r="I6" s="230"/>
      <c r="J6" s="230"/>
      <c r="K6" s="230"/>
      <c r="L6" s="230"/>
      <c r="M6" s="230"/>
      <c r="N6" s="230"/>
      <c r="O6" s="230"/>
      <c r="P6" s="230"/>
      <c r="Q6" s="230"/>
      <c r="R6" s="230"/>
      <c r="S6" s="230"/>
      <c r="T6" s="230"/>
      <c r="U6" s="230"/>
      <c r="V6" s="230"/>
      <c r="W6" s="230"/>
      <c r="X6" s="230"/>
      <c r="Y6" s="230"/>
      <c r="Z6" s="230"/>
      <c r="AA6" s="230"/>
      <c r="AB6" s="230"/>
      <c r="AC6" s="230"/>
      <c r="AD6" s="230"/>
    </row>
    <row r="7" spans="1:30">
      <c r="A7" s="101" t="s">
        <v>363</v>
      </c>
      <c r="B7" s="10"/>
      <c r="C7" s="10"/>
      <c r="D7" s="10"/>
      <c r="E7" s="10"/>
      <c r="F7" s="10"/>
      <c r="G7" s="10"/>
      <c r="H7" s="230"/>
      <c r="I7" s="230"/>
      <c r="J7" s="230"/>
      <c r="K7" s="230"/>
      <c r="L7" s="230"/>
      <c r="M7" s="230"/>
      <c r="N7" s="230"/>
      <c r="O7" s="230"/>
      <c r="P7" s="230"/>
      <c r="Q7" s="230"/>
      <c r="R7" s="230"/>
      <c r="S7" s="230"/>
      <c r="T7" s="230"/>
      <c r="U7" s="230"/>
      <c r="V7" s="230"/>
      <c r="W7" s="230"/>
      <c r="X7" s="230"/>
      <c r="Y7" s="230"/>
      <c r="Z7" s="230"/>
      <c r="AA7" s="230"/>
      <c r="AB7" s="230"/>
      <c r="AC7" s="230"/>
      <c r="AD7" s="230"/>
    </row>
    <row r="8" spans="1:30" ht="14.25">
      <c r="A8" s="101" t="s">
        <v>367</v>
      </c>
      <c r="B8" s="10"/>
      <c r="C8" s="10"/>
      <c r="D8" s="10"/>
      <c r="E8" s="10"/>
      <c r="F8" s="10"/>
      <c r="G8" s="10"/>
      <c r="H8" s="230"/>
      <c r="I8" s="230"/>
      <c r="J8" s="230"/>
      <c r="K8" s="230"/>
      <c r="L8" s="230"/>
      <c r="M8" s="230"/>
      <c r="N8" s="230"/>
      <c r="O8" s="230"/>
      <c r="P8" s="230"/>
      <c r="Q8" s="230"/>
      <c r="R8" s="230"/>
      <c r="S8" s="230"/>
      <c r="T8" s="230"/>
      <c r="U8" s="230"/>
      <c r="V8" s="230"/>
      <c r="W8" s="230"/>
      <c r="X8" s="230"/>
      <c r="Y8" s="230"/>
      <c r="Z8" s="230"/>
      <c r="AA8" s="230"/>
      <c r="AB8" s="230"/>
      <c r="AC8" s="230"/>
      <c r="AD8" s="230"/>
    </row>
    <row r="9" spans="1:30">
      <c r="A9" s="329" t="s">
        <v>365</v>
      </c>
      <c r="B9" s="10"/>
      <c r="C9" s="230"/>
      <c r="D9" s="10"/>
      <c r="E9" s="10"/>
      <c r="F9" s="111"/>
      <c r="G9" s="10"/>
      <c r="H9" s="230"/>
      <c r="I9" s="230"/>
      <c r="J9" s="230"/>
      <c r="K9" s="230"/>
      <c r="L9" s="230"/>
      <c r="M9" s="230"/>
      <c r="N9" s="230"/>
      <c r="O9" s="230"/>
      <c r="P9" s="230"/>
      <c r="Q9" s="230"/>
      <c r="R9" s="230"/>
      <c r="S9" s="230"/>
      <c r="T9" s="230"/>
      <c r="U9" s="230"/>
      <c r="V9" s="230"/>
      <c r="W9" s="230"/>
      <c r="X9" s="230"/>
      <c r="Y9" s="230"/>
      <c r="Z9" s="230"/>
      <c r="AA9" s="230"/>
      <c r="AB9" s="230"/>
      <c r="AC9" s="230"/>
      <c r="AD9" s="230"/>
    </row>
    <row r="10" spans="1:30" ht="14.25">
      <c r="A10" s="329" t="s">
        <v>774</v>
      </c>
      <c r="B10" s="10"/>
      <c r="C10" s="230"/>
      <c r="D10" s="10"/>
      <c r="E10" s="10"/>
      <c r="F10" s="111"/>
      <c r="G10" s="10"/>
      <c r="H10" s="230"/>
      <c r="I10" s="230"/>
      <c r="J10" s="230"/>
      <c r="K10" s="230"/>
      <c r="L10" s="230"/>
      <c r="M10" s="230"/>
      <c r="N10" s="230"/>
      <c r="O10" s="230"/>
      <c r="P10" s="230"/>
      <c r="Q10" s="230"/>
      <c r="R10" s="230"/>
      <c r="S10" s="230"/>
      <c r="T10" s="230"/>
      <c r="U10" s="230"/>
      <c r="V10" s="230"/>
      <c r="W10" s="230"/>
      <c r="X10" s="230"/>
      <c r="Y10" s="230"/>
      <c r="Z10" s="230"/>
      <c r="AA10" s="230"/>
      <c r="AB10" s="230"/>
      <c r="AC10" s="230"/>
      <c r="AD10" s="230"/>
    </row>
    <row r="11" spans="1:30">
      <c r="A11" s="101" t="s">
        <v>368</v>
      </c>
      <c r="B11" s="14"/>
      <c r="C11" s="10"/>
      <c r="D11" s="10"/>
      <c r="E11" s="10"/>
      <c r="F11" s="10"/>
      <c r="G11" s="1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row>
    <row r="12" spans="1:30">
      <c r="A12" s="101" t="s">
        <v>104</v>
      </c>
      <c r="B12" s="10"/>
      <c r="C12" s="10"/>
      <c r="D12" s="10"/>
      <c r="E12" s="10"/>
      <c r="F12" s="10"/>
      <c r="G12" s="1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row>
    <row r="13" spans="1:30">
      <c r="A13" s="101" t="s">
        <v>641</v>
      </c>
      <c r="B13" s="10"/>
      <c r="C13" s="10"/>
      <c r="D13" s="10"/>
      <c r="E13" s="10"/>
      <c r="F13" s="10"/>
      <c r="G13" s="1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row>
    <row r="14" spans="1:30">
      <c r="A14" s="10"/>
      <c r="B14" s="10"/>
      <c r="C14" s="10"/>
      <c r="D14" s="10"/>
      <c r="E14" s="10"/>
      <c r="F14" s="10"/>
      <c r="G14" s="10"/>
      <c r="H14" s="230"/>
      <c r="I14" s="230"/>
      <c r="J14" s="230"/>
      <c r="K14" s="230"/>
      <c r="L14" s="230"/>
      <c r="M14" s="230"/>
      <c r="N14" s="230"/>
      <c r="O14" s="230"/>
      <c r="P14" s="230"/>
      <c r="Q14" s="230"/>
      <c r="R14" s="230"/>
      <c r="S14" s="230"/>
      <c r="T14" s="230"/>
      <c r="U14" s="230"/>
      <c r="V14" s="230"/>
      <c r="W14" s="230"/>
      <c r="X14" s="230"/>
      <c r="Y14" s="230"/>
      <c r="Z14" s="230"/>
      <c r="AA14" s="230"/>
      <c r="AB14" s="230"/>
      <c r="AC14" s="230"/>
      <c r="AD14" s="230"/>
    </row>
    <row r="15" spans="1:30" ht="14.25">
      <c r="A15" s="10"/>
      <c r="B15" s="10"/>
      <c r="D15" s="623" t="s">
        <v>364</v>
      </c>
      <c r="E15" s="109"/>
      <c r="F15" s="14" t="s">
        <v>635</v>
      </c>
      <c r="G15" s="230"/>
      <c r="H15" s="230"/>
      <c r="I15" s="230"/>
      <c r="J15" s="230"/>
      <c r="K15" s="230"/>
      <c r="L15" s="230"/>
      <c r="M15" s="230"/>
      <c r="N15" s="230"/>
      <c r="O15" s="230"/>
      <c r="P15" s="230"/>
      <c r="Q15" s="230"/>
      <c r="R15" s="230"/>
      <c r="S15" s="230"/>
      <c r="T15" s="230"/>
      <c r="U15" s="230"/>
      <c r="V15" s="230"/>
      <c r="W15" s="230"/>
      <c r="X15" s="230"/>
      <c r="Y15" s="230"/>
      <c r="Z15" s="230"/>
      <c r="AA15" s="230"/>
      <c r="AB15" s="230"/>
      <c r="AC15" s="230"/>
      <c r="AD15" s="230"/>
    </row>
    <row r="16" spans="1:30" ht="14.25">
      <c r="B16" s="14"/>
      <c r="C16" s="10"/>
      <c r="D16" s="623" t="s">
        <v>366</v>
      </c>
      <c r="E16" s="542">
        <v>2.5500000000000002E-3</v>
      </c>
      <c r="F16" s="14" t="s">
        <v>461</v>
      </c>
      <c r="G16" s="230"/>
      <c r="H16" s="230"/>
      <c r="I16" s="230"/>
      <c r="J16" s="230"/>
      <c r="K16" s="230"/>
      <c r="L16" s="230"/>
      <c r="M16" s="230"/>
      <c r="N16" s="230"/>
      <c r="O16" s="230"/>
      <c r="P16" s="230"/>
      <c r="Q16" s="230"/>
      <c r="R16" s="230"/>
      <c r="S16" s="230"/>
      <c r="T16" s="230"/>
      <c r="U16" s="230"/>
      <c r="V16" s="230"/>
      <c r="W16" s="230"/>
      <c r="X16" s="230"/>
      <c r="Y16" s="230"/>
      <c r="Z16" s="230"/>
      <c r="AA16" s="230"/>
      <c r="AB16" s="230"/>
      <c r="AC16" s="230"/>
      <c r="AD16" s="230"/>
    </row>
    <row r="17" spans="1:30">
      <c r="A17" s="10"/>
      <c r="B17" s="10"/>
      <c r="C17" s="10"/>
      <c r="D17" s="10"/>
      <c r="E17" s="10"/>
      <c r="F17" s="10"/>
      <c r="G17" s="10"/>
      <c r="H17" s="230"/>
      <c r="I17" s="230"/>
      <c r="J17" s="230"/>
      <c r="K17" s="230"/>
      <c r="L17" s="230"/>
      <c r="M17" s="230"/>
      <c r="N17" s="230"/>
      <c r="O17" s="230"/>
      <c r="P17" s="230"/>
      <c r="Q17" s="230"/>
      <c r="R17" s="230"/>
      <c r="S17" s="230"/>
      <c r="T17" s="230"/>
      <c r="U17" s="230"/>
      <c r="V17" s="230"/>
      <c r="W17" s="230"/>
      <c r="X17" s="230"/>
      <c r="Y17" s="230"/>
      <c r="Z17" s="230"/>
      <c r="AA17" s="230"/>
      <c r="AB17" s="230"/>
      <c r="AC17" s="230"/>
      <c r="AD17" s="230"/>
    </row>
    <row r="18" spans="1:30" ht="13.5" thickBot="1">
      <c r="A18" s="13" t="s">
        <v>636</v>
      </c>
      <c r="B18" s="10"/>
      <c r="C18" s="10"/>
      <c r="D18" s="10"/>
      <c r="E18" s="10"/>
      <c r="F18" s="10"/>
      <c r="G18" s="10"/>
      <c r="H18" s="230"/>
      <c r="I18" s="230"/>
      <c r="J18" s="230"/>
      <c r="K18" s="230"/>
      <c r="L18" s="230"/>
      <c r="M18" s="230"/>
      <c r="N18" s="230"/>
      <c r="O18" s="230"/>
      <c r="P18" s="230"/>
      <c r="Q18" s="230"/>
      <c r="R18" s="230"/>
      <c r="S18" s="230"/>
      <c r="T18" s="230"/>
      <c r="U18" s="230"/>
      <c r="V18" s="230"/>
      <c r="W18" s="230"/>
      <c r="X18" s="230"/>
      <c r="Y18" s="230"/>
      <c r="Z18" s="230"/>
      <c r="AA18" s="230"/>
      <c r="AB18" s="230"/>
      <c r="AC18" s="230"/>
      <c r="AD18" s="230"/>
    </row>
    <row r="19" spans="1:30">
      <c r="A19" s="20" t="s">
        <v>196</v>
      </c>
      <c r="B19" s="21" t="s">
        <v>193</v>
      </c>
      <c r="C19" s="21" t="s">
        <v>189</v>
      </c>
      <c r="D19" s="21" t="s">
        <v>249</v>
      </c>
      <c r="E19" s="21" t="s">
        <v>190</v>
      </c>
      <c r="F19" s="21" t="s">
        <v>191</v>
      </c>
      <c r="G19" s="22" t="s">
        <v>192</v>
      </c>
      <c r="H19" s="230"/>
      <c r="I19" s="230"/>
      <c r="J19" s="230"/>
      <c r="K19" s="230"/>
      <c r="L19" s="230"/>
      <c r="M19" s="230"/>
      <c r="N19" s="230"/>
      <c r="O19" s="230"/>
      <c r="P19" s="230"/>
      <c r="Q19" s="230"/>
      <c r="R19" s="230"/>
      <c r="S19" s="230"/>
      <c r="T19" s="230"/>
      <c r="U19" s="230"/>
      <c r="V19" s="230"/>
      <c r="W19" s="230"/>
      <c r="X19" s="230"/>
      <c r="Y19" s="230"/>
      <c r="Z19" s="230"/>
      <c r="AA19" s="230"/>
      <c r="AB19" s="230"/>
      <c r="AC19" s="230"/>
      <c r="AD19" s="230"/>
    </row>
    <row r="20" spans="1:30">
      <c r="A20" s="39"/>
      <c r="B20" s="28" t="s">
        <v>126</v>
      </c>
      <c r="C20" s="28" t="s">
        <v>194</v>
      </c>
      <c r="D20" s="28" t="s">
        <v>250</v>
      </c>
      <c r="E20" s="28" t="s">
        <v>195</v>
      </c>
      <c r="F20" s="28" t="s">
        <v>192</v>
      </c>
      <c r="G20" s="29" t="s">
        <v>633</v>
      </c>
      <c r="H20" s="230"/>
      <c r="I20" s="230"/>
      <c r="J20" s="230"/>
      <c r="K20" s="230"/>
      <c r="L20" s="230"/>
      <c r="M20" s="230"/>
      <c r="N20" s="230"/>
      <c r="O20" s="230"/>
      <c r="P20" s="230"/>
      <c r="Q20" s="230"/>
      <c r="R20" s="230"/>
      <c r="S20" s="230"/>
      <c r="T20" s="230"/>
      <c r="U20" s="230"/>
      <c r="V20" s="230"/>
      <c r="W20" s="230"/>
      <c r="X20" s="230"/>
      <c r="Y20" s="230"/>
      <c r="Z20" s="230"/>
      <c r="AA20" s="230"/>
      <c r="AB20" s="230"/>
      <c r="AC20" s="230"/>
      <c r="AD20" s="230"/>
    </row>
    <row r="21" spans="1:30" ht="15" thickBot="1">
      <c r="A21" s="23"/>
      <c r="B21" s="24"/>
      <c r="C21" s="24" t="s">
        <v>197</v>
      </c>
      <c r="D21" s="24" t="s">
        <v>251</v>
      </c>
      <c r="E21" s="24"/>
      <c r="F21" s="24" t="s">
        <v>197</v>
      </c>
      <c r="G21" s="25" t="s">
        <v>634</v>
      </c>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row>
    <row r="22" spans="1:30">
      <c r="A22" s="6" t="s">
        <v>199</v>
      </c>
      <c r="B22" s="40" t="s">
        <v>200</v>
      </c>
      <c r="C22" s="117"/>
      <c r="D22" s="543" t="str">
        <f>IF(C22=0,"",(C22*$E$16))</f>
        <v/>
      </c>
      <c r="E22" s="41">
        <f>(12.011*1)+(15.9994*1)</f>
        <v>28.010399999999997</v>
      </c>
      <c r="F22" s="42">
        <f>(C_AtomicMass*1)/E22</f>
        <v>0.42880501528003884</v>
      </c>
      <c r="G22" s="140" t="str">
        <f>IF(C22=0,"",(D22*E22*F22))</f>
        <v/>
      </c>
      <c r="H22" s="230"/>
      <c r="I22" s="230"/>
      <c r="J22" s="230"/>
      <c r="K22" s="230"/>
      <c r="L22" s="230"/>
      <c r="M22" s="230"/>
      <c r="N22" s="230"/>
      <c r="O22" s="230"/>
      <c r="P22" s="230"/>
      <c r="Q22" s="230"/>
      <c r="R22" s="230"/>
      <c r="S22" s="230"/>
      <c r="T22" s="230"/>
      <c r="U22" s="230"/>
      <c r="V22" s="230"/>
      <c r="W22" s="230"/>
      <c r="X22" s="230"/>
      <c r="Y22" s="230"/>
      <c r="Z22" s="230"/>
      <c r="AA22" s="230"/>
      <c r="AB22" s="230"/>
      <c r="AC22" s="230"/>
      <c r="AD22" s="230"/>
    </row>
    <row r="23" spans="1:30" ht="15.75">
      <c r="A23" s="3" t="s">
        <v>127</v>
      </c>
      <c r="B23" s="9" t="s">
        <v>201</v>
      </c>
      <c r="C23" s="118"/>
      <c r="D23" s="544" t="str">
        <f t="shared" ref="D23:D38" si="0">IF(C23=0,"",(C23*$E$16))</f>
        <v/>
      </c>
      <c r="E23" s="43">
        <f>(12.011*1)+(15.9994*2)</f>
        <v>44.009799999999998</v>
      </c>
      <c r="F23" s="44">
        <f>(C_AtomicMass*1)/E23</f>
        <v>0.27291648678248936</v>
      </c>
      <c r="G23" s="141" t="str">
        <f>IF(C23=0,"",(D23*E23*F23))</f>
        <v/>
      </c>
      <c r="H23" s="230"/>
      <c r="I23" s="230"/>
      <c r="J23" s="230"/>
      <c r="K23" s="230"/>
      <c r="L23" s="230"/>
      <c r="M23" s="230"/>
      <c r="N23" s="230"/>
      <c r="O23" s="230"/>
      <c r="P23" s="230"/>
      <c r="Q23" s="230"/>
      <c r="R23" s="230"/>
      <c r="S23" s="230"/>
      <c r="T23" s="230"/>
      <c r="U23" s="230"/>
      <c r="V23" s="230"/>
      <c r="W23" s="230"/>
      <c r="X23" s="230"/>
      <c r="Y23" s="230"/>
      <c r="Z23" s="230"/>
      <c r="AA23" s="230"/>
      <c r="AB23" s="230"/>
      <c r="AC23" s="230"/>
      <c r="AD23" s="230"/>
    </row>
    <row r="24" spans="1:30" ht="15.75">
      <c r="A24" s="3" t="s">
        <v>128</v>
      </c>
      <c r="B24" s="4" t="s">
        <v>202</v>
      </c>
      <c r="C24" s="118"/>
      <c r="D24" s="544" t="str">
        <f t="shared" si="0"/>
        <v/>
      </c>
      <c r="E24" s="43">
        <f>(12.011*1)+(1.0079*4)</f>
        <v>16.0426</v>
      </c>
      <c r="F24" s="44">
        <f>(C_AtomicMass*1)/E24</f>
        <v>0.74869410195354857</v>
      </c>
      <c r="G24" s="141" t="str">
        <f t="shared" ref="G24:G37" si="1">IF(C24=0,"",(D24*E24*F24))</f>
        <v/>
      </c>
      <c r="H24" s="230"/>
      <c r="I24" s="230"/>
      <c r="J24" s="230"/>
      <c r="K24" s="230"/>
      <c r="L24" s="230"/>
      <c r="M24" s="230"/>
      <c r="N24" s="230"/>
      <c r="O24" s="230"/>
      <c r="P24" s="230"/>
      <c r="Q24" s="230"/>
      <c r="R24" s="230"/>
      <c r="S24" s="230"/>
      <c r="T24" s="230"/>
      <c r="U24" s="230"/>
      <c r="V24" s="230"/>
      <c r="W24" s="230"/>
      <c r="X24" s="230"/>
      <c r="Y24" s="230"/>
      <c r="Z24" s="230"/>
      <c r="AA24" s="230"/>
      <c r="AB24" s="230"/>
      <c r="AC24" s="230"/>
      <c r="AD24" s="230"/>
    </row>
    <row r="25" spans="1:30" ht="15.75">
      <c r="A25" s="3" t="s">
        <v>203</v>
      </c>
      <c r="B25" s="4" t="s">
        <v>204</v>
      </c>
      <c r="C25" s="118"/>
      <c r="D25" s="544" t="str">
        <f t="shared" si="0"/>
        <v/>
      </c>
      <c r="E25" s="43">
        <f>(12.011*2)+(1.0079*2)</f>
        <v>26.037799999999997</v>
      </c>
      <c r="F25" s="44">
        <f>(C_AtomicMass*2)/E25</f>
        <v>0.92258178494342846</v>
      </c>
      <c r="G25" s="141" t="str">
        <f t="shared" si="1"/>
        <v/>
      </c>
      <c r="H25" s="230"/>
      <c r="I25" s="230"/>
      <c r="J25" s="230"/>
      <c r="K25" s="230"/>
      <c r="L25" s="230"/>
      <c r="M25" s="230"/>
      <c r="N25" s="230"/>
      <c r="O25" s="230"/>
      <c r="P25" s="230"/>
      <c r="Q25" s="230"/>
      <c r="R25" s="230"/>
      <c r="S25" s="230"/>
      <c r="T25" s="230"/>
      <c r="U25" s="230"/>
      <c r="V25" s="230"/>
      <c r="W25" s="230"/>
      <c r="X25" s="230"/>
      <c r="Y25" s="230"/>
      <c r="Z25" s="230"/>
      <c r="AA25" s="230"/>
      <c r="AB25" s="230"/>
      <c r="AC25" s="230"/>
      <c r="AD25" s="230"/>
    </row>
    <row r="26" spans="1:30" ht="15.75">
      <c r="A26" s="3" t="s">
        <v>205</v>
      </c>
      <c r="B26" s="4" t="s">
        <v>206</v>
      </c>
      <c r="C26" s="118"/>
      <c r="D26" s="544" t="str">
        <f t="shared" si="0"/>
        <v/>
      </c>
      <c r="E26" s="43">
        <f>(12.011*2)+(1.0079*4)</f>
        <v>28.053599999999999</v>
      </c>
      <c r="F26" s="44">
        <f>(C_AtomicMass*2)/E26</f>
        <v>0.85628938888413608</v>
      </c>
      <c r="G26" s="141" t="str">
        <f t="shared" si="1"/>
        <v/>
      </c>
      <c r="H26" s="230"/>
      <c r="I26" s="230"/>
      <c r="J26" s="230"/>
      <c r="K26" s="230"/>
      <c r="L26" s="230"/>
      <c r="M26" s="230"/>
      <c r="N26" s="230"/>
      <c r="O26" s="230"/>
      <c r="P26" s="230"/>
      <c r="Q26" s="230"/>
      <c r="R26" s="230"/>
      <c r="S26" s="230"/>
      <c r="T26" s="230"/>
      <c r="U26" s="230"/>
      <c r="V26" s="230"/>
      <c r="W26" s="230"/>
      <c r="X26" s="230"/>
      <c r="Y26" s="230"/>
      <c r="Z26" s="230"/>
      <c r="AA26" s="230"/>
      <c r="AB26" s="230"/>
      <c r="AC26" s="230"/>
      <c r="AD26" s="230"/>
    </row>
    <row r="27" spans="1:30" ht="15.75">
      <c r="A27" s="3" t="s">
        <v>207</v>
      </c>
      <c r="B27" s="4" t="s">
        <v>208</v>
      </c>
      <c r="C27" s="118"/>
      <c r="D27" s="544" t="str">
        <f t="shared" si="0"/>
        <v/>
      </c>
      <c r="E27" s="43">
        <f>(12.011*2)+(1.0079*6)</f>
        <v>30.069399999999998</v>
      </c>
      <c r="F27" s="44">
        <f>(C_AtomicMass*2)/E27</f>
        <v>0.79888524546548978</v>
      </c>
      <c r="G27" s="141" t="str">
        <f t="shared" si="1"/>
        <v/>
      </c>
      <c r="H27" s="230"/>
      <c r="I27" s="230"/>
      <c r="J27" s="230"/>
      <c r="K27" s="230"/>
      <c r="L27" s="230"/>
      <c r="M27" s="230"/>
      <c r="N27" s="230"/>
      <c r="O27" s="230"/>
      <c r="P27" s="230"/>
      <c r="Q27" s="230"/>
      <c r="R27" s="230"/>
      <c r="S27" s="230"/>
      <c r="T27" s="230"/>
      <c r="U27" s="230"/>
      <c r="V27" s="230"/>
      <c r="W27" s="230"/>
      <c r="X27" s="230"/>
      <c r="Y27" s="230"/>
      <c r="Z27" s="230"/>
      <c r="AA27" s="230"/>
      <c r="AB27" s="230"/>
      <c r="AC27" s="230"/>
      <c r="AD27" s="230"/>
    </row>
    <row r="28" spans="1:30" ht="15.75">
      <c r="A28" s="3" t="s">
        <v>209</v>
      </c>
      <c r="B28" s="4" t="s">
        <v>210</v>
      </c>
      <c r="C28" s="118"/>
      <c r="D28" s="544" t="str">
        <f t="shared" si="0"/>
        <v/>
      </c>
      <c r="E28" s="43">
        <f>(12.011*3)+(1.0079*6)</f>
        <v>42.080399999999997</v>
      </c>
      <c r="F28" s="44">
        <f>(C_AtomicMass*3)/E28</f>
        <v>0.85628938888413619</v>
      </c>
      <c r="G28" s="141" t="str">
        <f t="shared" si="1"/>
        <v/>
      </c>
      <c r="H28" s="230"/>
      <c r="I28" s="230"/>
      <c r="J28" s="230"/>
      <c r="K28" s="230"/>
      <c r="L28" s="230"/>
      <c r="M28" s="230"/>
      <c r="N28" s="230"/>
      <c r="O28" s="230"/>
      <c r="P28" s="230"/>
      <c r="Q28" s="230"/>
      <c r="R28" s="230"/>
      <c r="S28" s="230"/>
      <c r="T28" s="230"/>
      <c r="U28" s="230"/>
      <c r="V28" s="230"/>
      <c r="W28" s="230"/>
      <c r="X28" s="230"/>
      <c r="Y28" s="230"/>
      <c r="Z28" s="230"/>
      <c r="AA28" s="230"/>
      <c r="AB28" s="230"/>
      <c r="AC28" s="230"/>
      <c r="AD28" s="230"/>
    </row>
    <row r="29" spans="1:30" ht="15.75">
      <c r="A29" s="3" t="s">
        <v>180</v>
      </c>
      <c r="B29" s="4" t="s">
        <v>211</v>
      </c>
      <c r="C29" s="118"/>
      <c r="D29" s="544" t="str">
        <f t="shared" si="0"/>
        <v/>
      </c>
      <c r="E29" s="43">
        <f>(12.011*3)+(1.0079*8)</f>
        <v>44.096200000000003</v>
      </c>
      <c r="F29" s="44">
        <f>(C_AtomicMass*3)/E29</f>
        <v>0.81714524154008727</v>
      </c>
      <c r="G29" s="141" t="str">
        <f t="shared" si="1"/>
        <v/>
      </c>
      <c r="H29" s="230"/>
      <c r="I29" s="230"/>
      <c r="J29" s="230"/>
      <c r="K29" s="230"/>
      <c r="L29" s="230"/>
      <c r="M29" s="230"/>
      <c r="N29" s="230"/>
      <c r="O29" s="230"/>
      <c r="P29" s="230"/>
      <c r="Q29" s="230"/>
      <c r="R29" s="230"/>
      <c r="S29" s="230"/>
      <c r="T29" s="230"/>
      <c r="U29" s="230"/>
      <c r="V29" s="230"/>
      <c r="W29" s="230"/>
      <c r="X29" s="230"/>
      <c r="Y29" s="230"/>
      <c r="Z29" s="230"/>
      <c r="AA29" s="230"/>
      <c r="AB29" s="230"/>
      <c r="AC29" s="230"/>
      <c r="AD29" s="230"/>
    </row>
    <row r="30" spans="1:30" ht="15.75">
      <c r="A30" s="3" t="s">
        <v>212</v>
      </c>
      <c r="B30" s="4" t="s">
        <v>213</v>
      </c>
      <c r="C30" s="118"/>
      <c r="D30" s="544" t="str">
        <f t="shared" si="0"/>
        <v/>
      </c>
      <c r="E30" s="43">
        <f>(12.011*4)+(1.0079*10)</f>
        <v>58.122999999999998</v>
      </c>
      <c r="F30" s="44">
        <f>(C_AtomicMass*4)/E30</f>
        <v>0.82659188273144879</v>
      </c>
      <c r="G30" s="141" t="str">
        <f t="shared" si="1"/>
        <v/>
      </c>
      <c r="H30" s="230"/>
      <c r="I30" s="230"/>
      <c r="J30" s="230"/>
      <c r="K30" s="230"/>
      <c r="L30" s="230"/>
      <c r="M30" s="230"/>
      <c r="N30" s="230"/>
      <c r="O30" s="230"/>
      <c r="P30" s="230"/>
      <c r="Q30" s="230"/>
      <c r="R30" s="230"/>
      <c r="S30" s="230"/>
      <c r="T30" s="230"/>
      <c r="U30" s="230"/>
      <c r="V30" s="230"/>
      <c r="W30" s="230"/>
      <c r="X30" s="230"/>
      <c r="Y30" s="230"/>
      <c r="Z30" s="230"/>
      <c r="AA30" s="230"/>
      <c r="AB30" s="230"/>
      <c r="AC30" s="230"/>
      <c r="AD30" s="230"/>
    </row>
    <row r="31" spans="1:30" ht="15.75">
      <c r="A31" s="3" t="s">
        <v>214</v>
      </c>
      <c r="B31" s="4" t="s">
        <v>215</v>
      </c>
      <c r="C31" s="118"/>
      <c r="D31" s="544" t="str">
        <f t="shared" si="0"/>
        <v/>
      </c>
      <c r="E31" s="43">
        <f>(12.011*6)+(1.0079*6)</f>
        <v>78.113399999999999</v>
      </c>
      <c r="F31" s="44">
        <f>(C_AtomicMass*6)/E31</f>
        <v>0.92258178494342846</v>
      </c>
      <c r="G31" s="141" t="str">
        <f t="shared" si="1"/>
        <v/>
      </c>
      <c r="H31" s="230"/>
      <c r="I31" s="230"/>
      <c r="J31" s="230"/>
      <c r="K31" s="230"/>
      <c r="L31" s="230"/>
      <c r="M31" s="230"/>
      <c r="N31" s="230"/>
      <c r="O31" s="230"/>
      <c r="P31" s="230"/>
      <c r="Q31" s="230"/>
      <c r="R31" s="230"/>
      <c r="S31" s="230"/>
      <c r="T31" s="230"/>
      <c r="U31" s="230"/>
      <c r="V31" s="230"/>
      <c r="W31" s="230"/>
      <c r="X31" s="230"/>
      <c r="Y31" s="230"/>
      <c r="Z31" s="230"/>
      <c r="AA31" s="230"/>
      <c r="AB31" s="230"/>
      <c r="AC31" s="230"/>
      <c r="AD31" s="230"/>
    </row>
    <row r="32" spans="1:30" ht="15.75">
      <c r="A32" s="3" t="s">
        <v>216</v>
      </c>
      <c r="B32" s="4" t="s">
        <v>217</v>
      </c>
      <c r="C32" s="118"/>
      <c r="D32" s="544" t="str">
        <f t="shared" si="0"/>
        <v/>
      </c>
      <c r="E32" s="43">
        <f>(12.011*6)+(1.0079*14)</f>
        <v>86.176600000000008</v>
      </c>
      <c r="F32" s="44">
        <f>(C_AtomicMass*6)/E32</f>
        <v>0.83625949503693575</v>
      </c>
      <c r="G32" s="141" t="str">
        <f t="shared" si="1"/>
        <v/>
      </c>
      <c r="H32" s="230"/>
      <c r="I32" s="230"/>
      <c r="J32" s="230"/>
      <c r="K32" s="230"/>
      <c r="L32" s="230"/>
      <c r="M32" s="230"/>
      <c r="N32" s="230"/>
      <c r="O32" s="230"/>
      <c r="P32" s="230"/>
      <c r="Q32" s="230"/>
      <c r="R32" s="230"/>
      <c r="S32" s="230"/>
      <c r="T32" s="230"/>
      <c r="U32" s="230"/>
      <c r="V32" s="230"/>
      <c r="W32" s="230"/>
      <c r="X32" s="230"/>
      <c r="Y32" s="230"/>
      <c r="Z32" s="230"/>
      <c r="AA32" s="230"/>
      <c r="AB32" s="230"/>
      <c r="AC32" s="230"/>
      <c r="AD32" s="230"/>
    </row>
    <row r="33" spans="1:30" ht="15.75">
      <c r="A33" s="3" t="s">
        <v>218</v>
      </c>
      <c r="B33" s="4" t="s">
        <v>219</v>
      </c>
      <c r="C33" s="118"/>
      <c r="D33" s="544" t="str">
        <f t="shared" si="0"/>
        <v/>
      </c>
      <c r="E33" s="43">
        <f>(12.011*7)+(1.0079*8)</f>
        <v>92.140199999999993</v>
      </c>
      <c r="F33" s="44">
        <f>(C_AtomicMass*7)/E33</f>
        <v>0.91248987955311589</v>
      </c>
      <c r="G33" s="141" t="str">
        <f t="shared" si="1"/>
        <v/>
      </c>
      <c r="H33" s="230"/>
      <c r="I33" s="230"/>
      <c r="J33" s="230"/>
      <c r="K33" s="230"/>
      <c r="L33" s="230"/>
      <c r="M33" s="230"/>
      <c r="N33" s="230"/>
      <c r="O33" s="230"/>
      <c r="P33" s="230"/>
      <c r="Q33" s="230"/>
      <c r="R33" s="230"/>
      <c r="S33" s="230"/>
      <c r="T33" s="230"/>
      <c r="U33" s="230"/>
      <c r="V33" s="230"/>
      <c r="W33" s="230"/>
      <c r="X33" s="230"/>
      <c r="Y33" s="230"/>
      <c r="Z33" s="230"/>
      <c r="AA33" s="230"/>
      <c r="AB33" s="230"/>
      <c r="AC33" s="230"/>
      <c r="AD33" s="230"/>
    </row>
    <row r="34" spans="1:30" ht="15.75">
      <c r="A34" s="45" t="s">
        <v>220</v>
      </c>
      <c r="B34" s="4" t="s">
        <v>221</v>
      </c>
      <c r="C34" s="119"/>
      <c r="D34" s="544" t="str">
        <f t="shared" si="0"/>
        <v/>
      </c>
      <c r="E34" s="43">
        <f>(12.011*8)+(1.0079*18)</f>
        <v>114.2302</v>
      </c>
      <c r="F34" s="44">
        <f>(C_AtomicMass*8)/E34</f>
        <v>0.84117860250616738</v>
      </c>
      <c r="G34" s="141" t="str">
        <f t="shared" si="1"/>
        <v/>
      </c>
      <c r="H34" s="230"/>
      <c r="I34" s="230"/>
      <c r="J34" s="230"/>
      <c r="K34" s="230"/>
      <c r="L34" s="230"/>
      <c r="M34" s="230"/>
      <c r="N34" s="230"/>
      <c r="O34" s="230"/>
      <c r="P34" s="230"/>
      <c r="Q34" s="230"/>
      <c r="R34" s="230"/>
      <c r="S34" s="230"/>
      <c r="T34" s="230"/>
      <c r="U34" s="230"/>
      <c r="V34" s="230"/>
      <c r="W34" s="230"/>
      <c r="X34" s="230"/>
      <c r="Y34" s="230"/>
      <c r="Z34" s="230"/>
      <c r="AA34" s="230"/>
      <c r="AB34" s="230"/>
      <c r="AC34" s="230"/>
      <c r="AD34" s="230"/>
    </row>
    <row r="35" spans="1:30" ht="15.75">
      <c r="A35" s="45" t="s">
        <v>222</v>
      </c>
      <c r="B35" s="4" t="s">
        <v>223</v>
      </c>
      <c r="C35" s="119"/>
      <c r="D35" s="544" t="str">
        <f t="shared" si="0"/>
        <v/>
      </c>
      <c r="E35" s="43">
        <f>(12.011*2)+(1.0079*6)+(15.9994*1)</f>
        <v>46.068799999999996</v>
      </c>
      <c r="F35" s="44">
        <f>(C_AtomicMass*2)/E35</f>
        <v>0.52143750217066653</v>
      </c>
      <c r="G35" s="141" t="str">
        <f t="shared" si="1"/>
        <v/>
      </c>
      <c r="H35" s="230"/>
      <c r="I35" s="230"/>
      <c r="J35" s="230"/>
      <c r="K35" s="230"/>
      <c r="L35" s="230"/>
      <c r="M35" s="230"/>
      <c r="N35" s="230"/>
      <c r="O35" s="230"/>
      <c r="P35" s="230"/>
      <c r="Q35" s="230"/>
      <c r="R35" s="230"/>
      <c r="S35" s="230"/>
      <c r="T35" s="230"/>
      <c r="U35" s="230"/>
      <c r="V35" s="230"/>
      <c r="W35" s="230"/>
      <c r="X35" s="230"/>
      <c r="Y35" s="230"/>
      <c r="Z35" s="230"/>
      <c r="AA35" s="230"/>
      <c r="AB35" s="230"/>
      <c r="AC35" s="230"/>
      <c r="AD35" s="230"/>
    </row>
    <row r="36" spans="1:30" ht="15.75">
      <c r="A36" s="45" t="s">
        <v>224</v>
      </c>
      <c r="B36" s="4" t="s">
        <v>225</v>
      </c>
      <c r="C36" s="119"/>
      <c r="D36" s="544" t="str">
        <f t="shared" si="0"/>
        <v/>
      </c>
      <c r="E36" s="43">
        <f>(12.011*3)+(1.0079*6)+(15.9994*1)</f>
        <v>58.079799999999999</v>
      </c>
      <c r="F36" s="44">
        <f>(C_AtomicMass*3)/E36</f>
        <v>0.62040502894293714</v>
      </c>
      <c r="G36" s="141" t="str">
        <f t="shared" si="1"/>
        <v/>
      </c>
      <c r="H36" s="230"/>
      <c r="I36" s="230"/>
      <c r="J36" s="230"/>
      <c r="K36" s="230"/>
      <c r="L36" s="230"/>
      <c r="M36" s="230"/>
      <c r="N36" s="230"/>
      <c r="O36" s="230"/>
      <c r="P36" s="230"/>
      <c r="Q36" s="230"/>
      <c r="R36" s="230"/>
      <c r="S36" s="230"/>
      <c r="T36" s="230"/>
      <c r="U36" s="230"/>
      <c r="V36" s="230"/>
      <c r="W36" s="230"/>
      <c r="X36" s="230"/>
      <c r="Y36" s="230"/>
      <c r="Z36" s="230"/>
      <c r="AA36" s="230"/>
      <c r="AB36" s="230"/>
      <c r="AC36" s="230"/>
      <c r="AD36" s="230"/>
    </row>
    <row r="37" spans="1:30" ht="15.75">
      <c r="A37" s="3" t="s">
        <v>226</v>
      </c>
      <c r="B37" s="4" t="s">
        <v>227</v>
      </c>
      <c r="C37" s="118"/>
      <c r="D37" s="544" t="str">
        <f t="shared" si="0"/>
        <v/>
      </c>
      <c r="E37" s="43">
        <f>(12.011*4)+(1.0079*8)+(15.9994*1)</f>
        <v>72.1066</v>
      </c>
      <c r="F37" s="44">
        <f>(C_AtomicMass*4)/E37</f>
        <v>0.66629129649713059</v>
      </c>
      <c r="G37" s="141" t="str">
        <f t="shared" si="1"/>
        <v/>
      </c>
      <c r="H37" s="230"/>
      <c r="I37" s="230"/>
      <c r="J37" s="230"/>
      <c r="K37" s="230"/>
      <c r="L37" s="230"/>
      <c r="M37" s="230"/>
      <c r="N37" s="230"/>
      <c r="O37" s="230"/>
      <c r="P37" s="230"/>
      <c r="Q37" s="230"/>
      <c r="R37" s="230"/>
      <c r="S37" s="230"/>
      <c r="T37" s="230"/>
      <c r="U37" s="230"/>
      <c r="V37" s="230"/>
      <c r="W37" s="230"/>
      <c r="X37" s="230"/>
      <c r="Y37" s="230"/>
      <c r="Z37" s="230"/>
      <c r="AA37" s="230"/>
      <c r="AB37" s="230"/>
      <c r="AC37" s="230"/>
      <c r="AD37" s="230"/>
    </row>
    <row r="38" spans="1:30">
      <c r="A38" s="577" t="s">
        <v>640</v>
      </c>
      <c r="B38" s="46"/>
      <c r="C38" s="547">
        <f>1-SUM(C22:C37)</f>
        <v>1</v>
      </c>
      <c r="D38" s="544">
        <f t="shared" si="0"/>
        <v>2.5500000000000002E-3</v>
      </c>
      <c r="E38" s="43"/>
      <c r="F38" s="44">
        <v>0</v>
      </c>
      <c r="G38" s="141">
        <f>IF(C38=0,"",(D38*E38*F38))</f>
        <v>0</v>
      </c>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row>
    <row r="39" spans="1:30" ht="13.5" thickBot="1">
      <c r="A39" s="47" t="s">
        <v>228</v>
      </c>
      <c r="B39" s="48"/>
      <c r="C39" s="49">
        <f>SUM(C22:C38)</f>
        <v>1</v>
      </c>
      <c r="D39" s="545">
        <f>SUM(D22:D38)</f>
        <v>2.5500000000000002E-3</v>
      </c>
      <c r="E39" s="50"/>
      <c r="F39" s="50"/>
      <c r="G39" s="142">
        <f>SUM(G22:G38)</f>
        <v>0</v>
      </c>
      <c r="H39" s="230"/>
      <c r="I39" s="230"/>
      <c r="J39" s="230"/>
      <c r="K39" s="230"/>
      <c r="L39" s="230"/>
      <c r="M39" s="230"/>
      <c r="N39" s="230"/>
      <c r="O39" s="230"/>
      <c r="P39" s="230"/>
      <c r="Q39" s="230"/>
      <c r="R39" s="230"/>
      <c r="S39" s="230"/>
      <c r="T39" s="230"/>
      <c r="U39" s="230"/>
      <c r="V39" s="230"/>
      <c r="W39" s="230"/>
      <c r="X39" s="230"/>
      <c r="Y39" s="230"/>
      <c r="Z39" s="230"/>
      <c r="AA39" s="230"/>
      <c r="AB39" s="230"/>
      <c r="AC39" s="230"/>
      <c r="AD39" s="230"/>
    </row>
    <row r="40" spans="1:30">
      <c r="A40" s="10"/>
      <c r="B40" s="10"/>
      <c r="C40" s="10"/>
      <c r="D40" s="10"/>
      <c r="E40" s="10"/>
      <c r="F40" s="10"/>
      <c r="G40" s="10"/>
      <c r="H40" s="230"/>
      <c r="I40" s="230"/>
      <c r="J40" s="230"/>
      <c r="K40" s="230"/>
      <c r="L40" s="230"/>
      <c r="M40" s="230"/>
      <c r="N40" s="230"/>
      <c r="O40" s="230"/>
      <c r="P40" s="230"/>
      <c r="Q40" s="230"/>
      <c r="R40" s="230"/>
      <c r="S40" s="230"/>
      <c r="T40" s="230"/>
      <c r="U40" s="230"/>
      <c r="V40" s="230"/>
      <c r="W40" s="230"/>
      <c r="X40" s="230"/>
      <c r="Y40" s="230"/>
      <c r="Z40" s="230"/>
      <c r="AA40" s="230"/>
      <c r="AB40" s="230"/>
      <c r="AC40" s="230"/>
      <c r="AD40" s="230"/>
    </row>
    <row r="41" spans="1:30">
      <c r="A41" s="13" t="s">
        <v>761</v>
      </c>
      <c r="B41" s="10"/>
      <c r="C41" s="10"/>
      <c r="D41" s="546">
        <v>100</v>
      </c>
      <c r="E41" s="10" t="s">
        <v>229</v>
      </c>
      <c r="F41" s="10"/>
      <c r="G41" s="10"/>
      <c r="H41" s="230"/>
      <c r="I41" s="230"/>
      <c r="J41" s="230"/>
      <c r="K41" s="230"/>
      <c r="L41" s="230"/>
      <c r="M41" s="230"/>
      <c r="N41" s="230"/>
      <c r="O41" s="230"/>
      <c r="P41" s="230"/>
      <c r="Q41" s="230"/>
      <c r="R41" s="230"/>
      <c r="S41" s="230"/>
      <c r="T41" s="230"/>
      <c r="U41" s="230"/>
      <c r="V41" s="230"/>
      <c r="W41" s="230"/>
      <c r="X41" s="230"/>
      <c r="Y41" s="230"/>
      <c r="Z41" s="230"/>
      <c r="AA41" s="230"/>
      <c r="AB41" s="230"/>
      <c r="AC41" s="230"/>
      <c r="AD41" s="230"/>
    </row>
    <row r="42" spans="1:30">
      <c r="A42" s="15" t="s">
        <v>637</v>
      </c>
      <c r="B42" s="10"/>
      <c r="C42" s="10"/>
      <c r="D42" s="78"/>
      <c r="E42" s="10"/>
      <c r="F42" s="10"/>
      <c r="G42" s="10"/>
      <c r="H42" s="230"/>
      <c r="I42" s="230"/>
      <c r="J42" s="230"/>
      <c r="K42" s="230"/>
      <c r="L42" s="230"/>
      <c r="M42" s="230"/>
      <c r="N42" s="230"/>
      <c r="O42" s="230"/>
      <c r="P42" s="230"/>
      <c r="Q42" s="230"/>
      <c r="R42" s="230"/>
      <c r="S42" s="230"/>
      <c r="T42" s="230"/>
      <c r="U42" s="230"/>
      <c r="V42" s="230"/>
      <c r="W42" s="230"/>
      <c r="X42" s="230"/>
      <c r="Y42" s="230"/>
      <c r="Z42" s="230"/>
      <c r="AA42" s="230"/>
      <c r="AB42" s="230"/>
      <c r="AC42" s="230"/>
      <c r="AD42" s="230"/>
    </row>
    <row r="43" spans="1:30">
      <c r="A43" s="10"/>
      <c r="B43" s="10"/>
      <c r="C43" s="10"/>
      <c r="D43" s="10"/>
      <c r="E43" s="10"/>
      <c r="F43" s="10"/>
      <c r="G43" s="10"/>
      <c r="H43" s="230"/>
      <c r="I43" s="230"/>
      <c r="J43" s="230"/>
      <c r="K43" s="230"/>
      <c r="L43" s="230"/>
      <c r="M43" s="230"/>
      <c r="N43" s="230"/>
      <c r="O43" s="230"/>
      <c r="P43" s="230"/>
      <c r="Q43" s="230"/>
      <c r="R43" s="230"/>
      <c r="S43" s="230"/>
      <c r="T43" s="230"/>
      <c r="U43" s="230"/>
      <c r="V43" s="230"/>
      <c r="W43" s="230"/>
      <c r="X43" s="230"/>
      <c r="Y43" s="230"/>
      <c r="Z43" s="230"/>
      <c r="AA43" s="230"/>
      <c r="AB43" s="230"/>
      <c r="AC43" s="230"/>
      <c r="AD43" s="230"/>
    </row>
    <row r="44" spans="1:30">
      <c r="A44" s="356" t="s">
        <v>377</v>
      </c>
      <c r="B44" s="331"/>
      <c r="C44" s="331"/>
      <c r="D44" s="331"/>
      <c r="E44" s="331"/>
      <c r="F44" s="331"/>
      <c r="G44" s="331"/>
      <c r="H44" s="230"/>
      <c r="I44" s="230"/>
      <c r="J44" s="230"/>
      <c r="K44" s="230"/>
      <c r="L44" s="230"/>
      <c r="M44" s="230"/>
      <c r="N44" s="230"/>
      <c r="O44" s="230"/>
      <c r="P44" s="230"/>
      <c r="Q44" s="230"/>
      <c r="R44" s="230"/>
      <c r="S44" s="230"/>
      <c r="T44" s="230"/>
      <c r="U44" s="230"/>
      <c r="V44" s="230"/>
      <c r="W44" s="230"/>
      <c r="X44" s="230"/>
      <c r="Y44" s="230"/>
      <c r="Z44" s="230"/>
      <c r="AA44" s="230"/>
      <c r="AB44" s="230"/>
      <c r="AC44" s="230"/>
      <c r="AD44" s="230"/>
    </row>
    <row r="45" spans="1:30" ht="13.5" thickBot="1">
      <c r="A45" s="10"/>
      <c r="B45" s="10"/>
      <c r="C45" s="10"/>
      <c r="D45" s="10"/>
      <c r="E45" s="10"/>
      <c r="F45" s="10"/>
      <c r="G45" s="10"/>
      <c r="H45" s="230"/>
      <c r="I45" s="230"/>
      <c r="J45" s="230"/>
      <c r="K45" s="230"/>
      <c r="L45" s="230"/>
      <c r="M45" s="230"/>
      <c r="N45" s="230"/>
      <c r="O45" s="230"/>
      <c r="P45" s="230"/>
      <c r="Q45" s="230"/>
      <c r="R45" s="230"/>
      <c r="S45" s="230"/>
      <c r="T45" s="230"/>
      <c r="U45" s="230"/>
      <c r="V45" s="230"/>
      <c r="W45" s="230"/>
      <c r="X45" s="230"/>
      <c r="Y45" s="230"/>
      <c r="Z45" s="230"/>
      <c r="AA45" s="230"/>
      <c r="AB45" s="230"/>
      <c r="AC45" s="230"/>
      <c r="AD45" s="230"/>
    </row>
    <row r="46" spans="1:30">
      <c r="A46" s="30"/>
      <c r="B46" s="31"/>
      <c r="C46" s="31"/>
      <c r="D46" s="35"/>
      <c r="E46" s="51"/>
      <c r="F46" s="10"/>
      <c r="G46" s="10"/>
      <c r="H46" s="230"/>
      <c r="I46" s="230"/>
      <c r="J46" s="230"/>
      <c r="K46" s="230"/>
      <c r="L46" s="230"/>
      <c r="M46" s="230"/>
      <c r="N46" s="230"/>
      <c r="O46" s="230"/>
      <c r="P46" s="230"/>
      <c r="Q46" s="230"/>
      <c r="R46" s="230"/>
      <c r="S46" s="230"/>
      <c r="T46" s="230"/>
      <c r="U46" s="230"/>
      <c r="V46" s="230"/>
      <c r="W46" s="230"/>
      <c r="X46" s="230"/>
      <c r="Y46" s="230"/>
      <c r="Z46" s="230"/>
      <c r="AA46" s="230"/>
      <c r="AB46" s="230"/>
      <c r="AC46" s="230"/>
      <c r="AD46" s="230"/>
    </row>
    <row r="47" spans="1:30" ht="15" thickBot="1">
      <c r="A47" s="33" t="s">
        <v>563</v>
      </c>
      <c r="B47" s="34"/>
      <c r="C47" s="34"/>
      <c r="D47" s="36"/>
      <c r="E47" s="224">
        <f>($G$39*$D$41/100*($E$23/12.011))*$E$15*kg_per_lb/1000</f>
        <v>0</v>
      </c>
      <c r="F47" s="10"/>
      <c r="G47" s="10"/>
      <c r="H47" s="230"/>
      <c r="I47" s="230"/>
      <c r="J47" s="230"/>
      <c r="K47" s="230"/>
      <c r="L47" s="230"/>
      <c r="M47" s="230"/>
      <c r="N47" s="230"/>
      <c r="O47" s="230"/>
      <c r="P47" s="230"/>
      <c r="Q47" s="230"/>
      <c r="R47" s="230"/>
      <c r="S47" s="230"/>
      <c r="T47" s="230"/>
      <c r="U47" s="230"/>
      <c r="V47" s="230"/>
      <c r="W47" s="230"/>
      <c r="X47" s="230"/>
      <c r="Y47" s="230"/>
      <c r="Z47" s="230"/>
      <c r="AA47" s="230"/>
      <c r="AB47" s="230"/>
      <c r="AC47" s="230"/>
      <c r="AD47" s="230"/>
    </row>
    <row r="48" spans="1:30">
      <c r="A48" s="10"/>
      <c r="B48" s="10"/>
      <c r="C48" s="10"/>
      <c r="D48" s="10"/>
      <c r="E48" s="10"/>
      <c r="F48" s="10"/>
      <c r="G48" s="10"/>
      <c r="H48" s="230"/>
      <c r="I48" s="230"/>
      <c r="J48" s="230"/>
      <c r="K48" s="230"/>
      <c r="L48" s="230"/>
      <c r="M48" s="230"/>
      <c r="N48" s="230"/>
      <c r="O48" s="230"/>
      <c r="P48" s="230"/>
      <c r="Q48" s="230"/>
      <c r="R48" s="230"/>
      <c r="S48" s="230"/>
      <c r="T48" s="230"/>
      <c r="U48" s="230"/>
      <c r="V48" s="230"/>
      <c r="W48" s="230"/>
      <c r="X48" s="230"/>
      <c r="Y48" s="230"/>
      <c r="Z48" s="230"/>
      <c r="AA48" s="230"/>
      <c r="AB48" s="230"/>
      <c r="AC48" s="230"/>
      <c r="AD48" s="230"/>
    </row>
    <row r="49" spans="1:30">
      <c r="A49" s="103" t="s">
        <v>138</v>
      </c>
      <c r="B49" s="10"/>
      <c r="C49" s="10"/>
      <c r="D49" s="10"/>
      <c r="E49" s="10"/>
      <c r="F49" s="10"/>
      <c r="G49" s="10"/>
      <c r="H49" s="230"/>
      <c r="I49" s="230"/>
      <c r="J49" s="230"/>
      <c r="K49" s="230"/>
      <c r="L49" s="230"/>
      <c r="M49" s="230"/>
      <c r="N49" s="230"/>
      <c r="O49" s="230"/>
      <c r="P49" s="230"/>
      <c r="Q49" s="230"/>
      <c r="R49" s="230"/>
      <c r="S49" s="230"/>
      <c r="T49" s="230"/>
      <c r="U49" s="230"/>
      <c r="V49" s="230"/>
      <c r="W49" s="230"/>
      <c r="X49" s="230"/>
      <c r="Y49" s="230"/>
      <c r="Z49" s="230"/>
      <c r="AA49" s="230"/>
      <c r="AB49" s="230"/>
      <c r="AC49" s="230"/>
      <c r="AD49" s="230"/>
    </row>
    <row r="50" spans="1:30">
      <c r="A50" s="103" t="s">
        <v>230</v>
      </c>
      <c r="B50" s="10"/>
      <c r="C50" s="10"/>
      <c r="D50" s="10"/>
      <c r="E50" s="10"/>
      <c r="F50" s="10"/>
      <c r="G50" s="10"/>
      <c r="H50" s="230"/>
      <c r="I50" s="230"/>
      <c r="J50" s="230"/>
      <c r="K50" s="230"/>
      <c r="L50" s="230"/>
      <c r="M50" s="230"/>
      <c r="N50" s="230"/>
      <c r="O50" s="230"/>
      <c r="P50" s="230"/>
      <c r="Q50" s="230"/>
      <c r="R50" s="230"/>
      <c r="S50" s="230"/>
      <c r="T50" s="230"/>
      <c r="U50" s="230"/>
      <c r="V50" s="230"/>
      <c r="W50" s="230"/>
      <c r="X50" s="230"/>
      <c r="Y50" s="230"/>
      <c r="Z50" s="230"/>
      <c r="AA50" s="230"/>
      <c r="AB50" s="230"/>
      <c r="AC50" s="230"/>
      <c r="AD50" s="230"/>
    </row>
    <row r="51" spans="1:30">
      <c r="A51" s="112" t="s">
        <v>961</v>
      </c>
      <c r="B51" s="10"/>
      <c r="C51" s="10"/>
      <c r="D51" s="10"/>
      <c r="E51" s="10"/>
      <c r="F51" s="10"/>
      <c r="G51" s="10"/>
      <c r="H51" s="230"/>
      <c r="I51" s="230"/>
      <c r="J51" s="230"/>
      <c r="K51" s="230"/>
      <c r="L51" s="230"/>
      <c r="M51" s="230"/>
      <c r="N51" s="230"/>
      <c r="O51" s="230"/>
      <c r="P51" s="230"/>
      <c r="Q51" s="230"/>
      <c r="R51" s="230"/>
      <c r="S51" s="230"/>
      <c r="T51" s="230"/>
      <c r="U51" s="230"/>
      <c r="V51" s="230"/>
      <c r="W51" s="230"/>
      <c r="X51" s="230"/>
      <c r="Y51" s="230"/>
      <c r="Z51" s="230"/>
      <c r="AA51" s="230"/>
      <c r="AB51" s="230"/>
      <c r="AC51" s="230"/>
      <c r="AD51" s="230"/>
    </row>
    <row r="52" spans="1:30">
      <c r="A52" s="103" t="s">
        <v>231</v>
      </c>
      <c r="B52" s="10"/>
      <c r="C52" s="10"/>
      <c r="D52" s="10"/>
      <c r="E52" s="10"/>
      <c r="F52" s="10"/>
      <c r="G52" s="10"/>
      <c r="H52" s="230"/>
      <c r="I52" s="230"/>
      <c r="J52" s="230"/>
      <c r="K52" s="230"/>
      <c r="L52" s="230"/>
      <c r="M52" s="230"/>
      <c r="N52" s="230"/>
      <c r="O52" s="230"/>
      <c r="P52" s="230"/>
      <c r="Q52" s="230"/>
      <c r="R52" s="230"/>
      <c r="S52" s="230"/>
      <c r="T52" s="230"/>
      <c r="U52" s="230"/>
      <c r="V52" s="230"/>
      <c r="W52" s="230"/>
      <c r="X52" s="230"/>
      <c r="Y52" s="230"/>
      <c r="Z52" s="230"/>
      <c r="AA52" s="230"/>
      <c r="AB52" s="230"/>
      <c r="AC52" s="230"/>
      <c r="AD52" s="230"/>
    </row>
    <row r="53" spans="1:30">
      <c r="A53" s="103"/>
      <c r="B53" s="10"/>
      <c r="C53" s="10"/>
      <c r="D53" s="10"/>
      <c r="E53" s="10"/>
      <c r="F53" s="10"/>
      <c r="G53" s="10"/>
      <c r="H53" s="230"/>
      <c r="I53" s="230"/>
      <c r="J53" s="230"/>
      <c r="K53" s="230"/>
      <c r="L53" s="230"/>
      <c r="M53" s="230"/>
      <c r="N53" s="230"/>
      <c r="O53" s="230"/>
      <c r="P53" s="230"/>
      <c r="Q53" s="230"/>
      <c r="R53" s="230"/>
      <c r="S53" s="230"/>
      <c r="T53" s="230"/>
      <c r="U53" s="230"/>
      <c r="V53" s="230"/>
      <c r="W53" s="230"/>
      <c r="X53" s="230"/>
      <c r="Y53" s="230"/>
      <c r="Z53" s="230"/>
      <c r="AA53" s="230"/>
      <c r="AB53" s="230"/>
      <c r="AC53" s="230"/>
      <c r="AD53" s="230"/>
    </row>
    <row r="54" spans="1:30">
      <c r="A54" s="10"/>
      <c r="B54" s="10"/>
      <c r="C54" s="10"/>
      <c r="D54" s="10"/>
      <c r="E54" s="10"/>
      <c r="F54" s="10"/>
      <c r="G54" s="10"/>
      <c r="H54" s="230"/>
      <c r="I54" s="230"/>
      <c r="J54" s="230"/>
      <c r="K54" s="230"/>
      <c r="L54" s="230"/>
      <c r="M54" s="230"/>
      <c r="N54" s="230"/>
      <c r="O54" s="230"/>
      <c r="P54" s="230"/>
      <c r="Q54" s="230"/>
      <c r="R54" s="230"/>
      <c r="S54" s="230"/>
      <c r="T54" s="230"/>
      <c r="U54" s="230"/>
      <c r="V54" s="230"/>
      <c r="W54" s="230"/>
      <c r="X54" s="230"/>
      <c r="Y54" s="230"/>
      <c r="Z54" s="230"/>
      <c r="AA54" s="230"/>
      <c r="AB54" s="230"/>
      <c r="AC54" s="230"/>
      <c r="AD54" s="230"/>
    </row>
    <row r="55" spans="1:30">
      <c r="A55" s="10"/>
      <c r="B55" s="10"/>
      <c r="C55" s="10"/>
      <c r="D55" s="10"/>
      <c r="E55" s="10"/>
      <c r="F55" s="10"/>
      <c r="G55" s="1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row>
    <row r="56" spans="1:30">
      <c r="A56" s="10"/>
      <c r="B56" s="10"/>
      <c r="C56" s="10"/>
      <c r="D56" s="10"/>
      <c r="E56" s="10"/>
      <c r="F56" s="10"/>
      <c r="G56" s="10"/>
      <c r="H56" s="230"/>
      <c r="I56" s="230"/>
      <c r="J56" s="230"/>
      <c r="K56" s="230"/>
      <c r="L56" s="230"/>
      <c r="M56" s="230"/>
      <c r="N56" s="230"/>
      <c r="O56" s="230"/>
      <c r="P56" s="230"/>
      <c r="Q56" s="230"/>
      <c r="R56" s="230"/>
      <c r="S56" s="230"/>
      <c r="T56" s="230"/>
      <c r="U56" s="230"/>
      <c r="V56" s="230"/>
      <c r="W56" s="230"/>
      <c r="X56" s="230"/>
      <c r="Y56" s="230"/>
      <c r="Z56" s="230"/>
      <c r="AA56" s="230"/>
      <c r="AB56" s="230"/>
      <c r="AC56" s="230"/>
      <c r="AD56" s="230"/>
    </row>
    <row r="57" spans="1:30">
      <c r="A57" s="10"/>
      <c r="B57" s="10"/>
      <c r="C57" s="10"/>
      <c r="D57" s="10"/>
      <c r="E57" s="10"/>
      <c r="F57" s="10"/>
      <c r="G57" s="10"/>
      <c r="H57" s="230"/>
      <c r="I57" s="230"/>
      <c r="J57" s="230"/>
      <c r="K57" s="230"/>
      <c r="L57" s="230"/>
      <c r="M57" s="230"/>
      <c r="N57" s="230"/>
      <c r="O57" s="230"/>
      <c r="P57" s="230"/>
      <c r="Q57" s="230"/>
      <c r="R57" s="230"/>
      <c r="S57" s="230"/>
      <c r="T57" s="230"/>
      <c r="U57" s="230"/>
      <c r="V57" s="230"/>
      <c r="W57" s="230"/>
      <c r="X57" s="230"/>
      <c r="Y57" s="230"/>
      <c r="Z57" s="230"/>
      <c r="AA57" s="230"/>
      <c r="AB57" s="230"/>
      <c r="AC57" s="230"/>
      <c r="AD57" s="230"/>
    </row>
    <row r="58" spans="1:30">
      <c r="A58" s="230"/>
      <c r="B58" s="230"/>
      <c r="C58" s="230"/>
      <c r="D58" s="230"/>
      <c r="E58" s="230"/>
      <c r="F58" s="230"/>
      <c r="G58" s="230"/>
      <c r="H58" s="230"/>
      <c r="I58" s="230"/>
      <c r="J58" s="230"/>
      <c r="K58" s="230"/>
      <c r="L58" s="230"/>
      <c r="M58" s="230"/>
      <c r="N58" s="230"/>
      <c r="O58" s="230"/>
      <c r="P58" s="230"/>
      <c r="Q58" s="230"/>
      <c r="R58" s="230"/>
      <c r="S58" s="230"/>
      <c r="T58" s="230"/>
      <c r="U58" s="230"/>
      <c r="V58" s="230"/>
      <c r="W58" s="230"/>
      <c r="X58" s="230"/>
      <c r="Y58" s="230"/>
      <c r="Z58" s="230"/>
      <c r="AA58" s="230"/>
      <c r="AB58" s="230"/>
      <c r="AC58" s="230"/>
      <c r="AD58" s="230"/>
    </row>
    <row r="59" spans="1:30">
      <c r="A59" s="230"/>
      <c r="B59" s="230"/>
      <c r="C59" s="230"/>
      <c r="D59" s="230"/>
      <c r="E59" s="230"/>
      <c r="F59" s="230"/>
      <c r="G59" s="230"/>
      <c r="H59" s="230"/>
      <c r="I59" s="230"/>
      <c r="J59" s="230"/>
      <c r="K59" s="230"/>
      <c r="L59" s="230"/>
      <c r="M59" s="230"/>
      <c r="N59" s="230"/>
      <c r="O59" s="230"/>
      <c r="P59" s="230"/>
      <c r="Q59" s="230"/>
      <c r="R59" s="230"/>
      <c r="S59" s="230"/>
      <c r="T59" s="230"/>
      <c r="U59" s="230"/>
      <c r="V59" s="230"/>
      <c r="W59" s="230"/>
      <c r="X59" s="230"/>
      <c r="Y59" s="230"/>
      <c r="Z59" s="230"/>
      <c r="AA59" s="230"/>
      <c r="AB59" s="230"/>
      <c r="AC59" s="230"/>
      <c r="AD59" s="230"/>
    </row>
    <row r="60" spans="1:30">
      <c r="A60" s="230"/>
      <c r="B60" s="230"/>
      <c r="C60" s="230"/>
      <c r="D60" s="230"/>
      <c r="E60" s="230"/>
      <c r="F60" s="230"/>
      <c r="G60" s="230"/>
      <c r="H60" s="230"/>
      <c r="I60" s="230"/>
      <c r="J60" s="230"/>
      <c r="K60" s="230"/>
      <c r="L60" s="230"/>
      <c r="M60" s="230"/>
      <c r="N60" s="230"/>
      <c r="O60" s="230"/>
      <c r="P60" s="230"/>
      <c r="Q60" s="230"/>
      <c r="R60" s="230"/>
      <c r="S60" s="230"/>
      <c r="T60" s="230"/>
      <c r="U60" s="230"/>
      <c r="V60" s="230"/>
      <c r="W60" s="230"/>
      <c r="X60" s="230"/>
      <c r="Y60" s="230"/>
      <c r="Z60" s="230"/>
      <c r="AA60" s="230"/>
      <c r="AB60" s="230"/>
      <c r="AC60" s="230"/>
      <c r="AD60" s="230"/>
    </row>
    <row r="61" spans="1:30">
      <c r="A61" s="230"/>
      <c r="B61" s="230"/>
      <c r="C61" s="230"/>
      <c r="D61" s="230"/>
      <c r="E61" s="230"/>
      <c r="F61" s="230"/>
      <c r="G61" s="230"/>
      <c r="H61" s="230"/>
      <c r="I61" s="230"/>
      <c r="J61" s="230"/>
      <c r="K61" s="230"/>
      <c r="L61" s="230"/>
      <c r="M61" s="230"/>
      <c r="N61" s="230"/>
      <c r="O61" s="230"/>
      <c r="P61" s="230"/>
      <c r="Q61" s="230"/>
      <c r="R61" s="230"/>
      <c r="S61" s="230"/>
      <c r="T61" s="230"/>
      <c r="U61" s="230"/>
      <c r="V61" s="230"/>
      <c r="W61" s="230"/>
      <c r="X61" s="230"/>
      <c r="Y61" s="230"/>
      <c r="Z61" s="230"/>
      <c r="AA61" s="230"/>
      <c r="AB61" s="230"/>
      <c r="AC61" s="230"/>
      <c r="AD61" s="230"/>
    </row>
    <row r="62" spans="1:30">
      <c r="A62" s="230"/>
      <c r="B62" s="230"/>
      <c r="C62" s="230"/>
      <c r="D62" s="230"/>
      <c r="E62" s="230"/>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row>
    <row r="63" spans="1:30">
      <c r="A63" s="230"/>
      <c r="B63" s="230"/>
      <c r="C63" s="230"/>
      <c r="D63" s="230"/>
      <c r="E63" s="230"/>
      <c r="F63" s="230"/>
      <c r="G63" s="230"/>
      <c r="H63" s="230"/>
      <c r="I63" s="230"/>
      <c r="J63" s="230"/>
      <c r="K63" s="230"/>
      <c r="L63" s="230"/>
      <c r="M63" s="230"/>
      <c r="N63" s="230"/>
      <c r="O63" s="230"/>
      <c r="P63" s="230"/>
      <c r="Q63" s="230"/>
      <c r="R63" s="230"/>
      <c r="S63" s="230"/>
      <c r="T63" s="230"/>
      <c r="U63" s="230"/>
      <c r="V63" s="230"/>
      <c r="W63" s="230"/>
      <c r="X63" s="230"/>
      <c r="Y63" s="230"/>
      <c r="Z63" s="230"/>
      <c r="AA63" s="230"/>
      <c r="AB63" s="230"/>
      <c r="AC63" s="230"/>
      <c r="AD63" s="230"/>
    </row>
    <row r="64" spans="1:30">
      <c r="A64" s="230"/>
      <c r="B64" s="230"/>
      <c r="C64" s="230"/>
      <c r="D64" s="230"/>
      <c r="E64" s="230"/>
      <c r="F64" s="230"/>
      <c r="G64" s="230"/>
      <c r="H64" s="230"/>
      <c r="I64" s="230"/>
      <c r="J64" s="230"/>
      <c r="K64" s="230"/>
      <c r="L64" s="230"/>
      <c r="M64" s="230"/>
      <c r="N64" s="230"/>
      <c r="O64" s="230"/>
      <c r="P64" s="230"/>
      <c r="Q64" s="230"/>
      <c r="R64" s="230"/>
      <c r="S64" s="230"/>
      <c r="T64" s="230"/>
      <c r="U64" s="230"/>
      <c r="V64" s="230"/>
      <c r="W64" s="230"/>
      <c r="X64" s="230"/>
      <c r="Y64" s="230"/>
      <c r="Z64" s="230"/>
      <c r="AA64" s="230"/>
      <c r="AB64" s="230"/>
      <c r="AC64" s="230"/>
      <c r="AD64" s="230"/>
    </row>
    <row r="65" spans="1:30">
      <c r="A65" s="230"/>
      <c r="B65" s="230"/>
      <c r="C65" s="230"/>
      <c r="D65" s="230"/>
      <c r="E65" s="230"/>
      <c r="F65" s="230"/>
      <c r="G65" s="230"/>
      <c r="H65" s="230"/>
      <c r="I65" s="230"/>
      <c r="J65" s="230"/>
      <c r="K65" s="230"/>
      <c r="L65" s="230"/>
      <c r="M65" s="230"/>
      <c r="N65" s="230"/>
      <c r="O65" s="230"/>
      <c r="P65" s="230"/>
      <c r="Q65" s="230"/>
      <c r="R65" s="230"/>
      <c r="S65" s="230"/>
      <c r="T65" s="230"/>
      <c r="U65" s="230"/>
      <c r="V65" s="230"/>
      <c r="W65" s="230"/>
      <c r="X65" s="230"/>
      <c r="Y65" s="230"/>
      <c r="Z65" s="230"/>
      <c r="AA65" s="230"/>
      <c r="AB65" s="230"/>
      <c r="AC65" s="230"/>
      <c r="AD65" s="230"/>
    </row>
    <row r="66" spans="1:30">
      <c r="A66" s="230"/>
      <c r="B66" s="230"/>
      <c r="C66" s="230"/>
      <c r="D66" s="230"/>
      <c r="E66" s="230"/>
      <c r="F66" s="230"/>
      <c r="G66" s="230"/>
      <c r="H66" s="230"/>
      <c r="I66" s="230"/>
      <c r="J66" s="230"/>
      <c r="K66" s="230"/>
      <c r="L66" s="230"/>
      <c r="M66" s="230"/>
      <c r="N66" s="230"/>
      <c r="O66" s="230"/>
      <c r="P66" s="230"/>
      <c r="Q66" s="230"/>
      <c r="R66" s="230"/>
      <c r="S66" s="230"/>
      <c r="T66" s="230"/>
      <c r="U66" s="230"/>
      <c r="V66" s="230"/>
      <c r="W66" s="230"/>
      <c r="X66" s="230"/>
      <c r="Y66" s="230"/>
      <c r="Z66" s="230"/>
      <c r="AA66" s="230"/>
      <c r="AB66" s="230"/>
      <c r="AC66" s="230"/>
      <c r="AD66" s="230"/>
    </row>
    <row r="67" spans="1:30">
      <c r="A67" s="230"/>
      <c r="B67" s="230"/>
      <c r="C67" s="230"/>
      <c r="D67" s="230"/>
      <c r="E67" s="230"/>
      <c r="F67" s="230"/>
      <c r="G67" s="230"/>
      <c r="H67" s="230"/>
      <c r="I67" s="230"/>
      <c r="J67" s="230"/>
      <c r="K67" s="230"/>
      <c r="L67" s="230"/>
      <c r="M67" s="230"/>
      <c r="N67" s="230"/>
      <c r="O67" s="230"/>
      <c r="P67" s="230"/>
      <c r="Q67" s="230"/>
      <c r="R67" s="230"/>
      <c r="S67" s="230"/>
      <c r="T67" s="230"/>
      <c r="U67" s="230"/>
      <c r="V67" s="230"/>
      <c r="W67" s="230"/>
      <c r="X67" s="230"/>
      <c r="Y67" s="230"/>
      <c r="Z67" s="230"/>
      <c r="AA67" s="230"/>
      <c r="AB67" s="230"/>
      <c r="AC67" s="230"/>
      <c r="AD67" s="230"/>
    </row>
    <row r="68" spans="1:30">
      <c r="A68" s="230"/>
      <c r="B68" s="230"/>
      <c r="C68" s="230"/>
      <c r="D68" s="230"/>
      <c r="E68" s="230"/>
      <c r="F68" s="230"/>
      <c r="G68" s="230"/>
      <c r="H68" s="230"/>
      <c r="I68" s="230"/>
      <c r="J68" s="230"/>
      <c r="K68" s="230"/>
      <c r="L68" s="230"/>
      <c r="M68" s="230"/>
      <c r="N68" s="230"/>
      <c r="O68" s="230"/>
      <c r="P68" s="230"/>
      <c r="Q68" s="230"/>
      <c r="R68" s="230"/>
      <c r="S68" s="230"/>
      <c r="T68" s="230"/>
      <c r="U68" s="230"/>
      <c r="V68" s="230"/>
      <c r="W68" s="230"/>
      <c r="X68" s="230"/>
      <c r="Y68" s="230"/>
      <c r="Z68" s="230"/>
      <c r="AA68" s="230"/>
      <c r="AB68" s="230"/>
      <c r="AC68" s="230"/>
      <c r="AD68" s="230"/>
    </row>
    <row r="69" spans="1:30">
      <c r="A69" s="230"/>
      <c r="B69" s="230"/>
      <c r="C69" s="230"/>
      <c r="D69" s="230"/>
      <c r="E69" s="230"/>
      <c r="F69" s="230"/>
      <c r="G69" s="230"/>
      <c r="H69" s="230"/>
      <c r="I69" s="230"/>
      <c r="J69" s="230"/>
      <c r="K69" s="230"/>
      <c r="L69" s="230"/>
      <c r="M69" s="230"/>
      <c r="N69" s="230"/>
      <c r="O69" s="230"/>
      <c r="P69" s="230"/>
      <c r="Q69" s="230"/>
      <c r="R69" s="230"/>
      <c r="S69" s="230"/>
      <c r="T69" s="230"/>
      <c r="U69" s="230"/>
      <c r="V69" s="230"/>
      <c r="W69" s="230"/>
      <c r="X69" s="230"/>
      <c r="Y69" s="230"/>
      <c r="Z69" s="230"/>
      <c r="AA69" s="230"/>
      <c r="AB69" s="230"/>
      <c r="AC69" s="230"/>
      <c r="AD69" s="230"/>
    </row>
    <row r="70" spans="1:30">
      <c r="A70" s="230"/>
      <c r="B70" s="230"/>
      <c r="C70" s="230"/>
      <c r="D70" s="230"/>
      <c r="E70" s="230"/>
      <c r="F70" s="230"/>
      <c r="G70" s="230"/>
      <c r="H70" s="230"/>
      <c r="I70" s="230"/>
      <c r="J70" s="230"/>
      <c r="K70" s="230"/>
      <c r="L70" s="230"/>
      <c r="M70" s="230"/>
      <c r="N70" s="230"/>
      <c r="O70" s="230"/>
      <c r="P70" s="230"/>
      <c r="Q70" s="230"/>
      <c r="R70" s="230"/>
      <c r="S70" s="230"/>
      <c r="T70" s="230"/>
      <c r="U70" s="230"/>
      <c r="V70" s="230"/>
      <c r="W70" s="230"/>
      <c r="X70" s="230"/>
      <c r="Y70" s="230"/>
      <c r="Z70" s="230"/>
      <c r="AA70" s="230"/>
      <c r="AB70" s="230"/>
      <c r="AC70" s="230"/>
      <c r="AD70" s="230"/>
    </row>
    <row r="71" spans="1:30">
      <c r="A71" s="230"/>
      <c r="B71" s="230"/>
      <c r="C71" s="230"/>
      <c r="D71" s="230"/>
      <c r="E71" s="230"/>
      <c r="F71" s="230"/>
      <c r="G71" s="230"/>
      <c r="H71" s="230"/>
      <c r="I71" s="230"/>
      <c r="J71" s="230"/>
      <c r="K71" s="230"/>
      <c r="L71" s="230"/>
      <c r="M71" s="230"/>
      <c r="N71" s="230"/>
      <c r="O71" s="230"/>
      <c r="P71" s="230"/>
      <c r="Q71" s="230"/>
      <c r="R71" s="230"/>
      <c r="S71" s="230"/>
      <c r="T71" s="230"/>
      <c r="U71" s="230"/>
      <c r="V71" s="230"/>
      <c r="W71" s="230"/>
      <c r="X71" s="230"/>
      <c r="Y71" s="230"/>
      <c r="Z71" s="230"/>
      <c r="AA71" s="230"/>
      <c r="AB71" s="230"/>
      <c r="AC71" s="230"/>
      <c r="AD71" s="230"/>
    </row>
    <row r="72" spans="1:30">
      <c r="A72" s="230"/>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row>
    <row r="73" spans="1:30">
      <c r="A73" s="230"/>
      <c r="B73" s="230"/>
      <c r="C73" s="230"/>
      <c r="D73" s="230"/>
      <c r="E73" s="230"/>
      <c r="F73" s="230"/>
      <c r="G73" s="230"/>
      <c r="H73" s="230"/>
      <c r="I73" s="230"/>
      <c r="J73" s="230"/>
      <c r="K73" s="230"/>
      <c r="L73" s="230"/>
      <c r="M73" s="230"/>
      <c r="N73" s="230"/>
      <c r="O73" s="230"/>
      <c r="P73" s="230"/>
      <c r="Q73" s="230"/>
      <c r="R73" s="230"/>
      <c r="S73" s="230"/>
      <c r="T73" s="230"/>
      <c r="U73" s="230"/>
      <c r="V73" s="230"/>
      <c r="W73" s="230"/>
      <c r="X73" s="230"/>
      <c r="Y73" s="230"/>
      <c r="Z73" s="230"/>
      <c r="AA73" s="230"/>
      <c r="AB73" s="230"/>
      <c r="AC73" s="230"/>
      <c r="AD73" s="230"/>
    </row>
    <row r="74" spans="1:30">
      <c r="A74" s="230"/>
      <c r="B74" s="230"/>
      <c r="C74" s="230"/>
      <c r="D74" s="230"/>
      <c r="E74" s="230"/>
      <c r="F74" s="230"/>
      <c r="G74" s="230"/>
      <c r="H74" s="230"/>
      <c r="I74" s="230"/>
      <c r="J74" s="230"/>
      <c r="K74" s="230"/>
      <c r="L74" s="230"/>
      <c r="M74" s="230"/>
      <c r="N74" s="230"/>
      <c r="O74" s="230"/>
      <c r="P74" s="230"/>
      <c r="Q74" s="230"/>
      <c r="R74" s="230"/>
      <c r="S74" s="230"/>
      <c r="T74" s="230"/>
      <c r="U74" s="230"/>
      <c r="V74" s="230"/>
      <c r="W74" s="230"/>
      <c r="X74" s="230"/>
      <c r="Y74" s="230"/>
      <c r="Z74" s="230"/>
      <c r="AA74" s="230"/>
      <c r="AB74" s="230"/>
      <c r="AC74" s="230"/>
      <c r="AD74" s="230"/>
    </row>
    <row r="75" spans="1:30">
      <c r="A75" s="230"/>
      <c r="B75" s="230"/>
      <c r="C75" s="230"/>
      <c r="D75" s="230"/>
      <c r="E75" s="230"/>
      <c r="F75" s="230"/>
      <c r="G75" s="230"/>
      <c r="H75" s="230"/>
      <c r="I75" s="230"/>
      <c r="J75" s="230"/>
      <c r="K75" s="230"/>
      <c r="L75" s="230"/>
      <c r="M75" s="230"/>
      <c r="N75" s="230"/>
      <c r="O75" s="230"/>
      <c r="P75" s="230"/>
      <c r="Q75" s="230"/>
      <c r="R75" s="230"/>
      <c r="S75" s="230"/>
      <c r="T75" s="230"/>
      <c r="U75" s="230"/>
      <c r="V75" s="230"/>
      <c r="W75" s="230"/>
      <c r="X75" s="230"/>
      <c r="Y75" s="230"/>
      <c r="Z75" s="230"/>
      <c r="AA75" s="230"/>
      <c r="AB75" s="230"/>
      <c r="AC75" s="230"/>
      <c r="AD75" s="230"/>
    </row>
    <row r="76" spans="1:30">
      <c r="A76" s="230"/>
      <c r="B76" s="230"/>
      <c r="C76" s="230"/>
      <c r="D76" s="230"/>
      <c r="E76" s="230"/>
      <c r="F76" s="230"/>
      <c r="G76" s="230"/>
      <c r="H76" s="230"/>
      <c r="I76" s="230"/>
      <c r="J76" s="230"/>
      <c r="K76" s="230"/>
      <c r="L76" s="230"/>
      <c r="M76" s="230"/>
      <c r="N76" s="230"/>
      <c r="O76" s="230"/>
      <c r="P76" s="230"/>
      <c r="Q76" s="230"/>
      <c r="R76" s="230"/>
      <c r="S76" s="230"/>
      <c r="T76" s="230"/>
      <c r="U76" s="230"/>
      <c r="V76" s="230"/>
      <c r="W76" s="230"/>
      <c r="X76" s="230"/>
      <c r="Y76" s="230"/>
      <c r="Z76" s="230"/>
      <c r="AA76" s="230"/>
      <c r="AB76" s="230"/>
      <c r="AC76" s="230"/>
      <c r="AD76" s="230"/>
    </row>
    <row r="77" spans="1:30">
      <c r="A77" s="230"/>
      <c r="B77" s="230"/>
      <c r="C77" s="230"/>
      <c r="D77" s="230"/>
      <c r="E77" s="230"/>
      <c r="F77" s="230"/>
      <c r="G77" s="230"/>
      <c r="H77" s="230"/>
      <c r="I77" s="230"/>
      <c r="J77" s="230"/>
      <c r="K77" s="230"/>
      <c r="L77" s="230"/>
      <c r="M77" s="230"/>
      <c r="N77" s="230"/>
      <c r="O77" s="230"/>
      <c r="P77" s="230"/>
      <c r="Q77" s="230"/>
      <c r="R77" s="230"/>
      <c r="S77" s="230"/>
      <c r="T77" s="230"/>
      <c r="U77" s="230"/>
      <c r="V77" s="230"/>
      <c r="W77" s="230"/>
      <c r="X77" s="230"/>
      <c r="Y77" s="230"/>
      <c r="Z77" s="230"/>
      <c r="AA77" s="230"/>
      <c r="AB77" s="230"/>
      <c r="AC77" s="230"/>
      <c r="AD77" s="230"/>
    </row>
    <row r="78" spans="1:30">
      <c r="A78" s="230"/>
      <c r="B78" s="230"/>
      <c r="C78" s="230"/>
      <c r="D78" s="230"/>
      <c r="E78" s="230"/>
      <c r="F78" s="230"/>
      <c r="G78" s="230"/>
      <c r="H78" s="230"/>
      <c r="I78" s="230"/>
      <c r="J78" s="230"/>
      <c r="K78" s="230"/>
      <c r="L78" s="230"/>
      <c r="M78" s="230"/>
      <c r="N78" s="230"/>
      <c r="O78" s="230"/>
      <c r="P78" s="230"/>
      <c r="Q78" s="230"/>
      <c r="R78" s="230"/>
      <c r="S78" s="230"/>
      <c r="T78" s="230"/>
      <c r="U78" s="230"/>
      <c r="V78" s="230"/>
      <c r="W78" s="230"/>
      <c r="X78" s="230"/>
      <c r="Y78" s="230"/>
      <c r="Z78" s="230"/>
      <c r="AA78" s="230"/>
      <c r="AB78" s="230"/>
      <c r="AC78" s="230"/>
      <c r="AD78" s="230"/>
    </row>
    <row r="79" spans="1:30">
      <c r="A79" s="230"/>
      <c r="B79" s="230"/>
      <c r="C79" s="230"/>
      <c r="D79" s="230"/>
      <c r="E79" s="230"/>
      <c r="F79" s="230"/>
      <c r="G79" s="230"/>
      <c r="H79" s="230"/>
      <c r="I79" s="230"/>
      <c r="J79" s="230"/>
      <c r="K79" s="230"/>
      <c r="L79" s="230"/>
      <c r="M79" s="230"/>
      <c r="N79" s="230"/>
      <c r="O79" s="230"/>
      <c r="P79" s="230"/>
      <c r="Q79" s="230"/>
      <c r="R79" s="230"/>
      <c r="S79" s="230"/>
      <c r="T79" s="230"/>
      <c r="U79" s="230"/>
      <c r="V79" s="230"/>
      <c r="W79" s="230"/>
      <c r="X79" s="230"/>
      <c r="Y79" s="230"/>
      <c r="Z79" s="230"/>
      <c r="AA79" s="230"/>
      <c r="AB79" s="230"/>
      <c r="AC79" s="230"/>
      <c r="AD79" s="230"/>
    </row>
    <row r="80" spans="1:30">
      <c r="A80" s="230"/>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row>
    <row r="81" spans="1:30">
      <c r="A81" s="230"/>
      <c r="B81" s="230"/>
      <c r="C81" s="230"/>
      <c r="D81" s="230"/>
      <c r="E81" s="230"/>
      <c r="F81" s="230"/>
      <c r="G81" s="230"/>
      <c r="H81" s="230"/>
      <c r="I81" s="230"/>
      <c r="J81" s="230"/>
      <c r="K81" s="230"/>
      <c r="L81" s="230"/>
      <c r="M81" s="230"/>
      <c r="N81" s="230"/>
      <c r="O81" s="230"/>
      <c r="P81" s="230"/>
      <c r="Q81" s="230"/>
      <c r="R81" s="230"/>
      <c r="S81" s="230"/>
      <c r="T81" s="230"/>
      <c r="U81" s="230"/>
      <c r="V81" s="230"/>
      <c r="W81" s="230"/>
      <c r="X81" s="230"/>
      <c r="Y81" s="230"/>
      <c r="Z81" s="230"/>
      <c r="AA81" s="230"/>
      <c r="AB81" s="230"/>
      <c r="AC81" s="230"/>
      <c r="AD81" s="230"/>
    </row>
    <row r="82" spans="1:30">
      <c r="A82" s="230"/>
      <c r="B82" s="230"/>
      <c r="C82" s="230"/>
      <c r="D82" s="230"/>
      <c r="E82" s="230"/>
      <c r="F82" s="230"/>
      <c r="G82" s="230"/>
      <c r="H82" s="230"/>
      <c r="I82" s="230"/>
      <c r="J82" s="230"/>
      <c r="K82" s="230"/>
      <c r="L82" s="230"/>
      <c r="M82" s="230"/>
      <c r="N82" s="230"/>
      <c r="O82" s="230"/>
      <c r="P82" s="230"/>
      <c r="Q82" s="230"/>
      <c r="R82" s="230"/>
      <c r="S82" s="230"/>
      <c r="T82" s="230"/>
      <c r="U82" s="230"/>
      <c r="V82" s="230"/>
      <c r="W82" s="230"/>
      <c r="X82" s="230"/>
      <c r="Y82" s="230"/>
      <c r="Z82" s="230"/>
      <c r="AA82" s="230"/>
      <c r="AB82" s="230"/>
      <c r="AC82" s="230"/>
      <c r="AD82" s="230"/>
    </row>
    <row r="83" spans="1:30">
      <c r="A83" s="230"/>
      <c r="B83" s="230"/>
      <c r="C83" s="230"/>
      <c r="D83" s="230"/>
      <c r="E83" s="230"/>
      <c r="F83" s="230"/>
      <c r="G83" s="230"/>
      <c r="H83" s="230"/>
      <c r="I83" s="230"/>
      <c r="J83" s="230"/>
      <c r="K83" s="230"/>
      <c r="L83" s="230"/>
      <c r="M83" s="230"/>
      <c r="N83" s="230"/>
      <c r="O83" s="230"/>
      <c r="P83" s="230"/>
      <c r="Q83" s="230"/>
      <c r="R83" s="230"/>
      <c r="S83" s="230"/>
      <c r="T83" s="230"/>
      <c r="U83" s="230"/>
      <c r="V83" s="230"/>
      <c r="W83" s="230"/>
      <c r="X83" s="230"/>
      <c r="Y83" s="230"/>
      <c r="Z83" s="230"/>
      <c r="AA83" s="230"/>
      <c r="AB83" s="230"/>
      <c r="AC83" s="230"/>
      <c r="AD83" s="230"/>
    </row>
    <row r="84" spans="1:30">
      <c r="A84" s="230"/>
      <c r="B84" s="230"/>
      <c r="C84" s="230"/>
      <c r="D84" s="230"/>
      <c r="E84" s="230"/>
      <c r="F84" s="230"/>
      <c r="G84" s="230"/>
      <c r="H84" s="230"/>
      <c r="I84" s="230"/>
      <c r="J84" s="230"/>
      <c r="K84" s="230"/>
      <c r="L84" s="230"/>
      <c r="M84" s="230"/>
      <c r="N84" s="230"/>
      <c r="O84" s="230"/>
      <c r="P84" s="230"/>
      <c r="Q84" s="230"/>
      <c r="R84" s="230"/>
      <c r="S84" s="230"/>
      <c r="T84" s="230"/>
      <c r="U84" s="230"/>
      <c r="V84" s="230"/>
      <c r="W84" s="230"/>
      <c r="X84" s="230"/>
      <c r="Y84" s="230"/>
      <c r="Z84" s="230"/>
      <c r="AA84" s="230"/>
      <c r="AB84" s="230"/>
      <c r="AC84" s="230"/>
      <c r="AD84" s="230"/>
    </row>
    <row r="85" spans="1:30">
      <c r="A85" s="230"/>
      <c r="B85" s="230"/>
      <c r="C85" s="230"/>
      <c r="D85" s="230"/>
      <c r="E85" s="230"/>
      <c r="F85" s="230"/>
      <c r="G85" s="230"/>
      <c r="H85" s="230"/>
      <c r="I85" s="230"/>
      <c r="J85" s="230"/>
      <c r="K85" s="230"/>
      <c r="L85" s="230"/>
      <c r="M85" s="230"/>
      <c r="N85" s="230"/>
      <c r="O85" s="230"/>
      <c r="P85" s="230"/>
      <c r="Q85" s="230"/>
      <c r="R85" s="230"/>
      <c r="S85" s="230"/>
      <c r="T85" s="230"/>
      <c r="U85" s="230"/>
      <c r="V85" s="230"/>
      <c r="W85" s="230"/>
      <c r="X85" s="230"/>
      <c r="Y85" s="230"/>
      <c r="Z85" s="230"/>
      <c r="AA85" s="230"/>
      <c r="AB85" s="230"/>
      <c r="AC85" s="230"/>
      <c r="AD85" s="230"/>
    </row>
    <row r="86" spans="1:30">
      <c r="A86" s="230"/>
      <c r="B86" s="230"/>
      <c r="C86" s="230"/>
      <c r="D86" s="230"/>
      <c r="E86" s="230"/>
      <c r="F86" s="230"/>
      <c r="G86" s="230"/>
      <c r="H86" s="230"/>
      <c r="I86" s="230"/>
      <c r="J86" s="230"/>
      <c r="K86" s="230"/>
      <c r="L86" s="230"/>
      <c r="M86" s="230"/>
      <c r="N86" s="230"/>
      <c r="O86" s="230"/>
      <c r="P86" s="230"/>
      <c r="Q86" s="230"/>
      <c r="R86" s="230"/>
      <c r="S86" s="230"/>
      <c r="T86" s="230"/>
      <c r="U86" s="230"/>
      <c r="V86" s="230"/>
      <c r="W86" s="230"/>
      <c r="X86" s="230"/>
      <c r="Y86" s="230"/>
      <c r="Z86" s="230"/>
      <c r="AA86" s="230"/>
      <c r="AB86" s="230"/>
      <c r="AC86" s="230"/>
      <c r="AD86" s="230"/>
    </row>
    <row r="87" spans="1:30">
      <c r="A87" s="230"/>
      <c r="B87" s="230"/>
      <c r="C87" s="230"/>
      <c r="D87" s="230"/>
      <c r="E87" s="230"/>
      <c r="F87" s="230"/>
      <c r="G87" s="230"/>
      <c r="H87" s="230"/>
      <c r="I87" s="230"/>
      <c r="J87" s="230"/>
      <c r="K87" s="230"/>
      <c r="L87" s="230"/>
      <c r="M87" s="230"/>
      <c r="N87" s="230"/>
      <c r="O87" s="230"/>
      <c r="P87" s="230"/>
      <c r="Q87" s="230"/>
      <c r="R87" s="230"/>
      <c r="S87" s="230"/>
      <c r="T87" s="230"/>
      <c r="U87" s="230"/>
      <c r="V87" s="230"/>
      <c r="W87" s="230"/>
      <c r="X87" s="230"/>
      <c r="Y87" s="230"/>
      <c r="Z87" s="230"/>
      <c r="AA87" s="230"/>
      <c r="AB87" s="230"/>
      <c r="AC87" s="230"/>
      <c r="AD87" s="230"/>
    </row>
    <row r="88" spans="1:30">
      <c r="A88" s="230"/>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row>
    <row r="89" spans="1:30">
      <c r="A89" s="230"/>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row>
    <row r="90" spans="1:30">
      <c r="A90" s="230"/>
      <c r="B90" s="230"/>
      <c r="C90" s="230"/>
      <c r="D90" s="230"/>
      <c r="E90" s="230"/>
      <c r="F90" s="230"/>
      <c r="G90" s="230"/>
      <c r="H90" s="230"/>
      <c r="I90" s="230"/>
      <c r="J90" s="230"/>
      <c r="K90" s="230"/>
      <c r="L90" s="230"/>
      <c r="M90" s="230"/>
      <c r="N90" s="230"/>
      <c r="O90" s="230"/>
      <c r="P90" s="230"/>
      <c r="Q90" s="230"/>
      <c r="R90" s="230"/>
      <c r="S90" s="230"/>
      <c r="T90" s="230"/>
      <c r="U90" s="230"/>
      <c r="V90" s="230"/>
      <c r="W90" s="230"/>
      <c r="X90" s="230"/>
      <c r="Y90" s="230"/>
      <c r="Z90" s="230"/>
      <c r="AA90" s="230"/>
      <c r="AB90" s="230"/>
      <c r="AC90" s="230"/>
      <c r="AD90" s="230"/>
    </row>
    <row r="91" spans="1:30">
      <c r="A91" s="230"/>
      <c r="B91" s="230"/>
      <c r="C91" s="230"/>
      <c r="D91" s="230"/>
      <c r="E91" s="230"/>
      <c r="F91" s="230"/>
      <c r="G91" s="230"/>
      <c r="H91" s="230"/>
      <c r="I91" s="230"/>
      <c r="J91" s="230"/>
      <c r="K91" s="230"/>
      <c r="L91" s="230"/>
      <c r="M91" s="230"/>
      <c r="N91" s="230"/>
      <c r="O91" s="230"/>
      <c r="P91" s="230"/>
      <c r="Q91" s="230"/>
      <c r="R91" s="230"/>
      <c r="S91" s="230"/>
      <c r="T91" s="230"/>
      <c r="U91" s="230"/>
      <c r="V91" s="230"/>
      <c r="W91" s="230"/>
      <c r="X91" s="230"/>
      <c r="Y91" s="230"/>
      <c r="Z91" s="230"/>
      <c r="AA91" s="230"/>
      <c r="AB91" s="230"/>
      <c r="AC91" s="230"/>
      <c r="AD91" s="230"/>
    </row>
    <row r="92" spans="1:30">
      <c r="A92" s="230"/>
      <c r="B92" s="230"/>
      <c r="C92" s="230"/>
      <c r="D92" s="230"/>
      <c r="E92" s="230"/>
      <c r="F92" s="230"/>
      <c r="G92" s="230"/>
      <c r="H92" s="230"/>
      <c r="I92" s="230"/>
      <c r="J92" s="230"/>
      <c r="K92" s="230"/>
      <c r="L92" s="230"/>
      <c r="M92" s="230"/>
      <c r="N92" s="230"/>
      <c r="O92" s="230"/>
      <c r="P92" s="230"/>
      <c r="Q92" s="230"/>
      <c r="R92" s="230"/>
      <c r="S92" s="230"/>
      <c r="T92" s="230"/>
      <c r="U92" s="230"/>
      <c r="V92" s="230"/>
      <c r="W92" s="230"/>
      <c r="X92" s="230"/>
      <c r="Y92" s="230"/>
      <c r="Z92" s="230"/>
      <c r="AA92" s="230"/>
      <c r="AB92" s="230"/>
      <c r="AC92" s="230"/>
      <c r="AD92" s="230"/>
    </row>
    <row r="93" spans="1:30">
      <c r="A93" s="230"/>
      <c r="B93" s="230"/>
      <c r="C93" s="230"/>
      <c r="D93" s="230"/>
      <c r="E93" s="230"/>
      <c r="F93" s="230"/>
      <c r="G93" s="230"/>
      <c r="H93" s="230"/>
      <c r="I93" s="230"/>
      <c r="J93" s="230"/>
      <c r="K93" s="230"/>
      <c r="L93" s="230"/>
      <c r="M93" s="230"/>
      <c r="N93" s="230"/>
      <c r="O93" s="230"/>
      <c r="P93" s="230"/>
      <c r="Q93" s="230"/>
      <c r="R93" s="230"/>
      <c r="S93" s="230"/>
      <c r="T93" s="230"/>
      <c r="U93" s="230"/>
      <c r="V93" s="230"/>
      <c r="W93" s="230"/>
      <c r="X93" s="230"/>
      <c r="Y93" s="230"/>
      <c r="Z93" s="230"/>
      <c r="AA93" s="230"/>
      <c r="AB93" s="230"/>
      <c r="AC93" s="230"/>
      <c r="AD93" s="230"/>
    </row>
    <row r="94" spans="1:30">
      <c r="A94" s="230"/>
      <c r="B94" s="230"/>
      <c r="C94" s="230"/>
      <c r="D94" s="230"/>
      <c r="E94" s="230"/>
      <c r="F94" s="230"/>
      <c r="G94" s="230"/>
      <c r="H94" s="230"/>
      <c r="I94" s="230"/>
      <c r="J94" s="230"/>
      <c r="K94" s="230"/>
      <c r="L94" s="230"/>
      <c r="M94" s="230"/>
      <c r="N94" s="230"/>
      <c r="O94" s="230"/>
      <c r="P94" s="230"/>
      <c r="Q94" s="230"/>
      <c r="R94" s="230"/>
      <c r="S94" s="230"/>
      <c r="T94" s="230"/>
      <c r="U94" s="230"/>
      <c r="V94" s="230"/>
      <c r="W94" s="230"/>
      <c r="X94" s="230"/>
      <c r="Y94" s="230"/>
      <c r="Z94" s="230"/>
      <c r="AA94" s="230"/>
      <c r="AB94" s="230"/>
      <c r="AC94" s="230"/>
      <c r="AD94" s="230"/>
    </row>
    <row r="95" spans="1:30">
      <c r="A95" s="230"/>
      <c r="B95" s="230"/>
      <c r="C95" s="230"/>
      <c r="D95" s="230"/>
      <c r="E95" s="230"/>
      <c r="F95" s="230"/>
      <c r="G95" s="230"/>
      <c r="H95" s="230"/>
      <c r="I95" s="230"/>
      <c r="J95" s="230"/>
      <c r="K95" s="230"/>
      <c r="L95" s="230"/>
      <c r="M95" s="230"/>
      <c r="N95" s="230"/>
      <c r="O95" s="230"/>
      <c r="P95" s="230"/>
      <c r="Q95" s="230"/>
      <c r="R95" s="230"/>
      <c r="S95" s="230"/>
      <c r="T95" s="230"/>
      <c r="U95" s="230"/>
      <c r="V95" s="230"/>
      <c r="W95" s="230"/>
      <c r="X95" s="230"/>
      <c r="Y95" s="230"/>
      <c r="Z95" s="230"/>
      <c r="AA95" s="230"/>
      <c r="AB95" s="230"/>
      <c r="AC95" s="230"/>
      <c r="AD95" s="230"/>
    </row>
    <row r="96" spans="1:30">
      <c r="A96" s="230"/>
      <c r="B96" s="230"/>
      <c r="C96" s="230"/>
      <c r="D96" s="230"/>
      <c r="E96" s="230"/>
      <c r="F96" s="230"/>
      <c r="G96" s="230"/>
      <c r="H96" s="230"/>
      <c r="I96" s="230"/>
      <c r="J96" s="230"/>
      <c r="K96" s="230"/>
      <c r="L96" s="230"/>
      <c r="M96" s="230"/>
      <c r="N96" s="230"/>
      <c r="O96" s="230"/>
      <c r="P96" s="230"/>
      <c r="Q96" s="230"/>
      <c r="R96" s="230"/>
      <c r="S96" s="230"/>
      <c r="T96" s="230"/>
      <c r="U96" s="230"/>
      <c r="V96" s="230"/>
      <c r="W96" s="230"/>
      <c r="X96" s="230"/>
      <c r="Y96" s="230"/>
      <c r="Z96" s="230"/>
      <c r="AA96" s="230"/>
      <c r="AB96" s="230"/>
      <c r="AC96" s="230"/>
      <c r="AD96" s="230"/>
    </row>
    <row r="97" spans="1:30">
      <c r="A97" s="230"/>
      <c r="B97" s="230"/>
      <c r="C97" s="230"/>
      <c r="D97" s="230"/>
      <c r="E97" s="230"/>
      <c r="F97" s="230"/>
      <c r="G97" s="230"/>
      <c r="H97" s="230"/>
      <c r="I97" s="230"/>
      <c r="J97" s="230"/>
      <c r="K97" s="230"/>
      <c r="L97" s="230"/>
      <c r="M97" s="230"/>
      <c r="N97" s="230"/>
      <c r="O97" s="230"/>
      <c r="P97" s="230"/>
      <c r="Q97" s="230"/>
      <c r="R97" s="230"/>
      <c r="S97" s="230"/>
      <c r="T97" s="230"/>
      <c r="U97" s="230"/>
      <c r="V97" s="230"/>
      <c r="W97" s="230"/>
      <c r="X97" s="230"/>
      <c r="Y97" s="230"/>
      <c r="Z97" s="230"/>
      <c r="AA97" s="230"/>
      <c r="AB97" s="230"/>
      <c r="AC97" s="230"/>
      <c r="AD97" s="230"/>
    </row>
    <row r="98" spans="1:30">
      <c r="A98" s="230"/>
      <c r="B98" s="230"/>
      <c r="C98" s="230"/>
      <c r="D98" s="230"/>
      <c r="E98" s="230"/>
      <c r="F98" s="230"/>
      <c r="G98" s="230"/>
      <c r="H98" s="230"/>
      <c r="I98" s="230"/>
      <c r="J98" s="230"/>
      <c r="K98" s="230"/>
      <c r="L98" s="230"/>
      <c r="M98" s="230"/>
      <c r="N98" s="230"/>
      <c r="O98" s="230"/>
      <c r="P98" s="230"/>
      <c r="Q98" s="230"/>
      <c r="R98" s="230"/>
      <c r="S98" s="230"/>
      <c r="T98" s="230"/>
      <c r="U98" s="230"/>
      <c r="V98" s="230"/>
      <c r="W98" s="230"/>
      <c r="X98" s="230"/>
      <c r="Y98" s="230"/>
      <c r="Z98" s="230"/>
      <c r="AA98" s="230"/>
      <c r="AB98" s="230"/>
      <c r="AC98" s="230"/>
      <c r="AD98" s="230"/>
    </row>
    <row r="99" spans="1:30">
      <c r="A99" s="230"/>
      <c r="B99" s="230"/>
      <c r="C99" s="230"/>
      <c r="D99" s="230"/>
      <c r="E99" s="230"/>
      <c r="F99" s="230"/>
      <c r="G99" s="230"/>
      <c r="H99" s="230"/>
      <c r="I99" s="230"/>
      <c r="J99" s="230"/>
      <c r="K99" s="230"/>
      <c r="L99" s="230"/>
      <c r="M99" s="230"/>
      <c r="N99" s="230"/>
      <c r="O99" s="230"/>
      <c r="P99" s="230"/>
      <c r="Q99" s="230"/>
      <c r="R99" s="230"/>
      <c r="S99" s="230"/>
      <c r="T99" s="230"/>
      <c r="U99" s="230"/>
      <c r="V99" s="230"/>
      <c r="W99" s="230"/>
      <c r="X99" s="230"/>
      <c r="Y99" s="230"/>
      <c r="Z99" s="230"/>
      <c r="AA99" s="230"/>
      <c r="AB99" s="230"/>
      <c r="AC99" s="230"/>
      <c r="AD99" s="230"/>
    </row>
    <row r="100" spans="1:30">
      <c r="A100" s="230"/>
      <c r="B100" s="230"/>
      <c r="C100" s="230"/>
      <c r="D100" s="230"/>
      <c r="E100" s="230"/>
      <c r="F100" s="230"/>
      <c r="G100" s="230"/>
      <c r="H100" s="230"/>
      <c r="I100" s="230"/>
      <c r="J100" s="230"/>
      <c r="K100" s="230"/>
      <c r="L100" s="230"/>
      <c r="M100" s="230"/>
      <c r="N100" s="230"/>
      <c r="O100" s="230"/>
      <c r="P100" s="230"/>
      <c r="Q100" s="230"/>
      <c r="R100" s="230"/>
      <c r="S100" s="230"/>
      <c r="T100" s="230"/>
      <c r="U100" s="230"/>
      <c r="V100" s="230"/>
      <c r="W100" s="230"/>
      <c r="X100" s="230"/>
      <c r="Y100" s="230"/>
      <c r="Z100" s="230"/>
      <c r="AA100" s="230"/>
      <c r="AB100" s="230"/>
      <c r="AC100" s="230"/>
      <c r="AD100" s="230"/>
    </row>
    <row r="101" spans="1:30">
      <c r="A101" s="230"/>
      <c r="B101" s="230"/>
      <c r="C101" s="230"/>
      <c r="D101" s="230"/>
      <c r="E101" s="230"/>
      <c r="F101" s="230"/>
      <c r="G101" s="230"/>
      <c r="H101" s="230"/>
      <c r="I101" s="230"/>
      <c r="J101" s="230"/>
      <c r="K101" s="230"/>
      <c r="L101" s="230"/>
      <c r="M101" s="230"/>
      <c r="N101" s="230"/>
      <c r="O101" s="230"/>
      <c r="P101" s="230"/>
      <c r="Q101" s="230"/>
      <c r="R101" s="230"/>
      <c r="S101" s="230"/>
      <c r="T101" s="230"/>
      <c r="U101" s="230"/>
      <c r="V101" s="230"/>
      <c r="W101" s="230"/>
      <c r="X101" s="230"/>
      <c r="Y101" s="230"/>
      <c r="Z101" s="230"/>
      <c r="AA101" s="230"/>
      <c r="AB101" s="230"/>
      <c r="AC101" s="230"/>
      <c r="AD101" s="230"/>
    </row>
    <row r="102" spans="1:30">
      <c r="A102" s="230"/>
      <c r="B102" s="230"/>
      <c r="C102" s="230"/>
      <c r="D102" s="230"/>
      <c r="E102" s="230"/>
      <c r="F102" s="230"/>
      <c r="G102" s="230"/>
      <c r="H102" s="230"/>
      <c r="I102" s="230"/>
      <c r="J102" s="230"/>
      <c r="K102" s="230"/>
      <c r="L102" s="230"/>
      <c r="M102" s="230"/>
      <c r="N102" s="230"/>
      <c r="O102" s="230"/>
      <c r="P102" s="230"/>
      <c r="Q102" s="230"/>
      <c r="R102" s="230"/>
      <c r="S102" s="230"/>
      <c r="T102" s="230"/>
      <c r="U102" s="230"/>
      <c r="V102" s="230"/>
      <c r="W102" s="230"/>
      <c r="X102" s="230"/>
      <c r="Y102" s="230"/>
      <c r="Z102" s="230"/>
      <c r="AA102" s="230"/>
      <c r="AB102" s="230"/>
      <c r="AC102" s="230"/>
      <c r="AD102" s="230"/>
    </row>
    <row r="103" spans="1:30">
      <c r="A103" s="230"/>
      <c r="B103" s="230"/>
      <c r="C103" s="230"/>
      <c r="D103" s="230"/>
      <c r="E103" s="230"/>
      <c r="F103" s="230"/>
      <c r="G103" s="230"/>
      <c r="H103" s="230"/>
      <c r="I103" s="230"/>
      <c r="J103" s="230"/>
      <c r="K103" s="230"/>
      <c r="L103" s="230"/>
      <c r="M103" s="230"/>
      <c r="N103" s="230"/>
      <c r="O103" s="230"/>
      <c r="P103" s="230"/>
      <c r="Q103" s="230"/>
      <c r="R103" s="230"/>
      <c r="S103" s="230"/>
      <c r="T103" s="230"/>
      <c r="U103" s="230"/>
      <c r="V103" s="230"/>
      <c r="W103" s="230"/>
      <c r="X103" s="230"/>
      <c r="Y103" s="230"/>
      <c r="Z103" s="230"/>
      <c r="AA103" s="230"/>
      <c r="AB103" s="230"/>
      <c r="AC103" s="230"/>
      <c r="AD103" s="230"/>
    </row>
    <row r="104" spans="1:30">
      <c r="A104" s="230"/>
      <c r="B104" s="230"/>
      <c r="C104" s="230"/>
      <c r="D104" s="230"/>
      <c r="E104" s="230"/>
      <c r="F104" s="230"/>
      <c r="G104" s="230"/>
      <c r="H104" s="230"/>
      <c r="I104" s="230"/>
      <c r="J104" s="230"/>
      <c r="K104" s="230"/>
      <c r="L104" s="230"/>
      <c r="M104" s="230"/>
      <c r="N104" s="230"/>
      <c r="O104" s="230"/>
      <c r="P104" s="230"/>
      <c r="Q104" s="230"/>
      <c r="R104" s="230"/>
      <c r="S104" s="230"/>
      <c r="T104" s="230"/>
      <c r="U104" s="230"/>
      <c r="V104" s="230"/>
      <c r="W104" s="230"/>
      <c r="X104" s="230"/>
      <c r="Y104" s="230"/>
      <c r="Z104" s="230"/>
      <c r="AA104" s="230"/>
      <c r="AB104" s="230"/>
      <c r="AC104" s="230"/>
      <c r="AD104" s="230"/>
    </row>
    <row r="105" spans="1:30">
      <c r="A105" s="230"/>
      <c r="B105" s="230"/>
      <c r="C105" s="230"/>
      <c r="D105" s="230"/>
      <c r="E105" s="230"/>
      <c r="F105" s="230"/>
      <c r="G105" s="230"/>
      <c r="H105" s="230"/>
      <c r="I105" s="230"/>
      <c r="J105" s="230"/>
      <c r="K105" s="230"/>
      <c r="L105" s="230"/>
      <c r="M105" s="230"/>
      <c r="N105" s="230"/>
      <c r="O105" s="230"/>
      <c r="P105" s="230"/>
      <c r="Q105" s="230"/>
      <c r="R105" s="230"/>
      <c r="S105" s="230"/>
      <c r="T105" s="230"/>
      <c r="U105" s="230"/>
      <c r="V105" s="230"/>
      <c r="W105" s="230"/>
      <c r="X105" s="230"/>
      <c r="Y105" s="230"/>
      <c r="Z105" s="230"/>
      <c r="AA105" s="230"/>
      <c r="AB105" s="230"/>
      <c r="AC105" s="230"/>
      <c r="AD105" s="230"/>
    </row>
    <row r="106" spans="1:30">
      <c r="A106" s="230"/>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row>
    <row r="107" spans="1:30">
      <c r="A107" s="230"/>
      <c r="B107" s="230"/>
      <c r="C107" s="230"/>
      <c r="D107" s="230"/>
      <c r="E107" s="230"/>
      <c r="F107" s="230"/>
      <c r="G107" s="230"/>
      <c r="H107" s="230"/>
      <c r="I107" s="230"/>
      <c r="J107" s="230"/>
      <c r="K107" s="230"/>
      <c r="L107" s="230"/>
      <c r="M107" s="230"/>
      <c r="N107" s="230"/>
      <c r="O107" s="230"/>
      <c r="P107" s="230"/>
      <c r="Q107" s="230"/>
      <c r="R107" s="230"/>
      <c r="S107" s="230"/>
      <c r="T107" s="230"/>
      <c r="U107" s="230"/>
      <c r="V107" s="230"/>
      <c r="W107" s="230"/>
      <c r="X107" s="230"/>
      <c r="Y107" s="230"/>
      <c r="Z107" s="230"/>
      <c r="AA107" s="230"/>
      <c r="AB107" s="230"/>
      <c r="AC107" s="230"/>
      <c r="AD107" s="230"/>
    </row>
    <row r="108" spans="1:30">
      <c r="A108" s="230"/>
      <c r="B108" s="230"/>
      <c r="C108" s="230"/>
      <c r="D108" s="230"/>
      <c r="E108" s="230"/>
      <c r="F108" s="230"/>
      <c r="G108" s="230"/>
      <c r="H108" s="230"/>
      <c r="I108" s="230"/>
      <c r="J108" s="230"/>
      <c r="K108" s="230"/>
      <c r="L108" s="230"/>
      <c r="M108" s="230"/>
      <c r="N108" s="230"/>
      <c r="O108" s="230"/>
      <c r="P108" s="230"/>
      <c r="Q108" s="230"/>
      <c r="R108" s="230"/>
      <c r="S108" s="230"/>
      <c r="T108" s="230"/>
      <c r="U108" s="230"/>
      <c r="V108" s="230"/>
      <c r="W108" s="230"/>
      <c r="X108" s="230"/>
      <c r="Y108" s="230"/>
      <c r="Z108" s="230"/>
      <c r="AA108" s="230"/>
      <c r="AB108" s="230"/>
      <c r="AC108" s="230"/>
      <c r="AD108" s="230"/>
    </row>
    <row r="109" spans="1:30">
      <c r="A109" s="230"/>
      <c r="B109" s="230"/>
      <c r="C109" s="230"/>
      <c r="D109" s="230"/>
      <c r="E109" s="230"/>
      <c r="F109" s="230"/>
      <c r="G109" s="230"/>
      <c r="H109" s="230"/>
      <c r="I109" s="230"/>
      <c r="J109" s="230"/>
      <c r="K109" s="230"/>
      <c r="L109" s="230"/>
      <c r="M109" s="230"/>
      <c r="N109" s="230"/>
      <c r="O109" s="230"/>
      <c r="P109" s="230"/>
      <c r="Q109" s="230"/>
      <c r="R109" s="230"/>
      <c r="S109" s="230"/>
      <c r="T109" s="230"/>
      <c r="U109" s="230"/>
      <c r="V109" s="230"/>
      <c r="W109" s="230"/>
      <c r="X109" s="230"/>
      <c r="Y109" s="230"/>
      <c r="Z109" s="230"/>
      <c r="AA109" s="230"/>
      <c r="AB109" s="230"/>
      <c r="AC109" s="230"/>
      <c r="AD109" s="230"/>
    </row>
    <row r="110" spans="1:30">
      <c r="A110" s="230"/>
      <c r="B110" s="230"/>
      <c r="C110" s="230"/>
      <c r="D110" s="230"/>
      <c r="E110" s="230"/>
      <c r="F110" s="230"/>
      <c r="G110" s="230"/>
      <c r="H110" s="230"/>
      <c r="I110" s="230"/>
      <c r="J110" s="230"/>
      <c r="K110" s="230"/>
      <c r="L110" s="230"/>
      <c r="M110" s="230"/>
      <c r="N110" s="230"/>
      <c r="O110" s="230"/>
      <c r="P110" s="230"/>
      <c r="Q110" s="230"/>
      <c r="R110" s="230"/>
      <c r="S110" s="230"/>
      <c r="T110" s="230"/>
      <c r="U110" s="230"/>
      <c r="V110" s="230"/>
      <c r="W110" s="230"/>
      <c r="X110" s="230"/>
      <c r="Y110" s="230"/>
      <c r="Z110" s="230"/>
      <c r="AA110" s="230"/>
      <c r="AB110" s="230"/>
      <c r="AC110" s="230"/>
      <c r="AD110" s="230"/>
    </row>
    <row r="111" spans="1:30">
      <c r="A111" s="230"/>
      <c r="B111" s="230"/>
      <c r="C111" s="230"/>
      <c r="D111" s="230"/>
      <c r="E111" s="230"/>
      <c r="F111" s="230"/>
      <c r="G111" s="230"/>
      <c r="H111" s="230"/>
      <c r="I111" s="230"/>
      <c r="J111" s="230"/>
      <c r="K111" s="230"/>
      <c r="L111" s="230"/>
      <c r="M111" s="230"/>
      <c r="N111" s="230"/>
      <c r="O111" s="230"/>
      <c r="P111" s="230"/>
      <c r="Q111" s="230"/>
      <c r="R111" s="230"/>
      <c r="S111" s="230"/>
      <c r="T111" s="230"/>
      <c r="U111" s="230"/>
      <c r="V111" s="230"/>
      <c r="W111" s="230"/>
      <c r="X111" s="230"/>
      <c r="Y111" s="230"/>
      <c r="Z111" s="230"/>
      <c r="AA111" s="230"/>
      <c r="AB111" s="230"/>
      <c r="AC111" s="230"/>
      <c r="AD111" s="230"/>
    </row>
    <row r="112" spans="1:30">
      <c r="A112" s="230"/>
      <c r="B112" s="230"/>
      <c r="C112" s="230"/>
      <c r="D112" s="230"/>
      <c r="E112" s="230"/>
      <c r="F112" s="230"/>
      <c r="G112" s="230"/>
      <c r="H112" s="230"/>
      <c r="I112" s="230"/>
      <c r="J112" s="230"/>
      <c r="K112" s="230"/>
      <c r="L112" s="230"/>
      <c r="M112" s="230"/>
      <c r="N112" s="230"/>
      <c r="O112" s="230"/>
      <c r="P112" s="230"/>
      <c r="Q112" s="230"/>
      <c r="R112" s="230"/>
      <c r="S112" s="230"/>
      <c r="T112" s="230"/>
      <c r="U112" s="230"/>
      <c r="V112" s="230"/>
      <c r="W112" s="230"/>
      <c r="X112" s="230"/>
      <c r="Y112" s="230"/>
      <c r="Z112" s="230"/>
      <c r="AA112" s="230"/>
      <c r="AB112" s="230"/>
      <c r="AC112" s="230"/>
      <c r="AD112" s="230"/>
    </row>
    <row r="113" spans="1:30">
      <c r="A113" s="230"/>
      <c r="B113" s="230"/>
      <c r="C113" s="230"/>
      <c r="D113" s="230"/>
      <c r="E113" s="230"/>
      <c r="F113" s="230"/>
      <c r="G113" s="230"/>
      <c r="H113" s="230"/>
      <c r="I113" s="230"/>
      <c r="J113" s="230"/>
      <c r="K113" s="230"/>
      <c r="L113" s="230"/>
      <c r="M113" s="230"/>
      <c r="N113" s="230"/>
      <c r="O113" s="230"/>
      <c r="P113" s="230"/>
      <c r="Q113" s="230"/>
      <c r="R113" s="230"/>
      <c r="S113" s="230"/>
      <c r="T113" s="230"/>
      <c r="U113" s="230"/>
      <c r="V113" s="230"/>
      <c r="W113" s="230"/>
      <c r="X113" s="230"/>
      <c r="Y113" s="230"/>
      <c r="Z113" s="230"/>
      <c r="AA113" s="230"/>
      <c r="AB113" s="230"/>
      <c r="AC113" s="230"/>
      <c r="AD113" s="230"/>
    </row>
    <row r="114" spans="1:30">
      <c r="A114" s="230"/>
      <c r="B114" s="230"/>
      <c r="C114" s="230"/>
      <c r="D114" s="230"/>
      <c r="E114" s="230"/>
      <c r="F114" s="230"/>
      <c r="G114" s="230"/>
      <c r="H114" s="230"/>
      <c r="I114" s="230"/>
      <c r="J114" s="230"/>
      <c r="K114" s="230"/>
      <c r="L114" s="230"/>
      <c r="M114" s="230"/>
      <c r="N114" s="230"/>
      <c r="O114" s="230"/>
      <c r="P114" s="230"/>
      <c r="Q114" s="230"/>
      <c r="R114" s="230"/>
      <c r="S114" s="230"/>
      <c r="T114" s="230"/>
      <c r="U114" s="230"/>
      <c r="V114" s="230"/>
      <c r="W114" s="230"/>
      <c r="X114" s="230"/>
      <c r="Y114" s="230"/>
      <c r="Z114" s="230"/>
      <c r="AA114" s="230"/>
      <c r="AB114" s="230"/>
      <c r="AC114" s="230"/>
      <c r="AD114" s="230"/>
    </row>
    <row r="115" spans="1:30">
      <c r="A115" s="230"/>
      <c r="B115" s="230"/>
      <c r="C115" s="230"/>
      <c r="D115" s="230"/>
      <c r="E115" s="230"/>
      <c r="F115" s="230"/>
      <c r="G115" s="230"/>
      <c r="H115" s="230"/>
      <c r="I115" s="230"/>
      <c r="J115" s="230"/>
      <c r="K115" s="230"/>
      <c r="L115" s="230"/>
      <c r="M115" s="230"/>
      <c r="N115" s="230"/>
      <c r="O115" s="230"/>
      <c r="P115" s="230"/>
      <c r="Q115" s="230"/>
      <c r="R115" s="230"/>
      <c r="S115" s="230"/>
      <c r="T115" s="230"/>
      <c r="U115" s="230"/>
      <c r="V115" s="230"/>
      <c r="W115" s="230"/>
      <c r="X115" s="230"/>
      <c r="Y115" s="230"/>
      <c r="Z115" s="230"/>
      <c r="AA115" s="230"/>
      <c r="AB115" s="230"/>
      <c r="AC115" s="230"/>
      <c r="AD115" s="230"/>
    </row>
    <row r="116" spans="1:30">
      <c r="A116" s="230"/>
      <c r="B116" s="230"/>
      <c r="C116" s="230"/>
      <c r="D116" s="230"/>
      <c r="E116" s="230"/>
      <c r="F116" s="230"/>
      <c r="G116" s="230"/>
      <c r="H116" s="230"/>
      <c r="I116" s="230"/>
      <c r="J116" s="230"/>
      <c r="K116" s="230"/>
      <c r="L116" s="230"/>
      <c r="M116" s="230"/>
      <c r="N116" s="230"/>
      <c r="O116" s="230"/>
      <c r="P116" s="230"/>
      <c r="Q116" s="230"/>
      <c r="R116" s="230"/>
      <c r="S116" s="230"/>
      <c r="T116" s="230"/>
      <c r="U116" s="230"/>
      <c r="V116" s="230"/>
      <c r="W116" s="230"/>
      <c r="X116" s="230"/>
      <c r="Y116" s="230"/>
      <c r="Z116" s="230"/>
      <c r="AA116" s="230"/>
      <c r="AB116" s="230"/>
      <c r="AC116" s="230"/>
      <c r="AD116" s="230"/>
    </row>
    <row r="117" spans="1:30">
      <c r="A117" s="230"/>
      <c r="B117" s="230"/>
      <c r="C117" s="230"/>
      <c r="D117" s="230"/>
      <c r="E117" s="230"/>
      <c r="F117" s="230"/>
      <c r="G117" s="230"/>
      <c r="H117" s="230"/>
      <c r="I117" s="230"/>
      <c r="J117" s="230"/>
      <c r="K117" s="230"/>
      <c r="L117" s="230"/>
      <c r="M117" s="230"/>
      <c r="N117" s="230"/>
      <c r="O117" s="230"/>
      <c r="P117" s="230"/>
      <c r="Q117" s="230"/>
      <c r="R117" s="230"/>
      <c r="S117" s="230"/>
      <c r="T117" s="230"/>
      <c r="U117" s="230"/>
      <c r="V117" s="230"/>
      <c r="W117" s="230"/>
      <c r="X117" s="230"/>
      <c r="Y117" s="230"/>
      <c r="Z117" s="230"/>
      <c r="AA117" s="230"/>
      <c r="AB117" s="230"/>
      <c r="AC117" s="230"/>
      <c r="AD117" s="230"/>
    </row>
    <row r="118" spans="1:30">
      <c r="A118" s="230"/>
      <c r="B118" s="230"/>
      <c r="C118" s="230"/>
      <c r="D118" s="230"/>
      <c r="E118" s="230"/>
      <c r="F118" s="230"/>
      <c r="G118" s="230"/>
      <c r="H118" s="230"/>
      <c r="I118" s="230"/>
      <c r="J118" s="230"/>
      <c r="K118" s="230"/>
      <c r="L118" s="230"/>
      <c r="M118" s="230"/>
      <c r="N118" s="230"/>
      <c r="O118" s="230"/>
      <c r="P118" s="230"/>
      <c r="Q118" s="230"/>
      <c r="R118" s="230"/>
      <c r="S118" s="230"/>
      <c r="T118" s="230"/>
      <c r="U118" s="230"/>
      <c r="V118" s="230"/>
      <c r="W118" s="230"/>
      <c r="X118" s="230"/>
      <c r="Y118" s="230"/>
      <c r="Z118" s="230"/>
      <c r="AA118" s="230"/>
      <c r="AB118" s="230"/>
      <c r="AC118" s="230"/>
      <c r="AD118" s="230"/>
    </row>
    <row r="119" spans="1:30">
      <c r="A119" s="230"/>
      <c r="B119" s="230"/>
      <c r="C119" s="230"/>
      <c r="D119" s="230"/>
      <c r="E119" s="230"/>
      <c r="F119" s="230"/>
      <c r="G119" s="230"/>
      <c r="H119" s="230"/>
      <c r="I119" s="230"/>
      <c r="J119" s="230"/>
      <c r="K119" s="230"/>
      <c r="L119" s="230"/>
      <c r="M119" s="230"/>
      <c r="N119" s="230"/>
      <c r="O119" s="230"/>
      <c r="P119" s="230"/>
      <c r="Q119" s="230"/>
      <c r="R119" s="230"/>
      <c r="S119" s="230"/>
      <c r="T119" s="230"/>
      <c r="U119" s="230"/>
      <c r="V119" s="230"/>
      <c r="W119" s="230"/>
      <c r="X119" s="230"/>
      <c r="Y119" s="230"/>
      <c r="Z119" s="230"/>
      <c r="AA119" s="230"/>
      <c r="AB119" s="230"/>
      <c r="AC119" s="230"/>
      <c r="AD119" s="230"/>
    </row>
    <row r="120" spans="1:30">
      <c r="A120" s="230"/>
      <c r="B120" s="230"/>
      <c r="C120" s="230"/>
      <c r="D120" s="230"/>
      <c r="E120" s="230"/>
      <c r="F120" s="230"/>
      <c r="G120" s="230"/>
      <c r="H120" s="230"/>
      <c r="I120" s="230"/>
      <c r="J120" s="230"/>
      <c r="K120" s="230"/>
      <c r="L120" s="230"/>
      <c r="M120" s="230"/>
      <c r="N120" s="230"/>
      <c r="O120" s="230"/>
      <c r="P120" s="230"/>
      <c r="Q120" s="230"/>
      <c r="R120" s="230"/>
      <c r="S120" s="230"/>
      <c r="T120" s="230"/>
      <c r="U120" s="230"/>
      <c r="V120" s="230"/>
      <c r="W120" s="230"/>
      <c r="X120" s="230"/>
      <c r="Y120" s="230"/>
      <c r="Z120" s="230"/>
      <c r="AA120" s="230"/>
      <c r="AB120" s="230"/>
      <c r="AC120" s="230"/>
      <c r="AD120" s="230"/>
    </row>
    <row r="121" spans="1:30">
      <c r="A121" s="230"/>
      <c r="B121" s="230"/>
      <c r="C121" s="230"/>
      <c r="D121" s="230"/>
      <c r="E121" s="230"/>
      <c r="F121" s="230"/>
      <c r="G121" s="230"/>
      <c r="H121" s="230"/>
      <c r="I121" s="230"/>
      <c r="J121" s="230"/>
      <c r="K121" s="230"/>
      <c r="L121" s="230"/>
      <c r="M121" s="230"/>
      <c r="N121" s="230"/>
      <c r="O121" s="230"/>
      <c r="P121" s="230"/>
      <c r="Q121" s="230"/>
      <c r="R121" s="230"/>
      <c r="S121" s="230"/>
      <c r="T121" s="230"/>
      <c r="U121" s="230"/>
      <c r="V121" s="230"/>
      <c r="W121" s="230"/>
      <c r="X121" s="230"/>
      <c r="Y121" s="230"/>
      <c r="Z121" s="230"/>
      <c r="AA121" s="230"/>
      <c r="AB121" s="230"/>
      <c r="AC121" s="230"/>
      <c r="AD121" s="230"/>
    </row>
    <row r="122" spans="1:30">
      <c r="A122" s="230"/>
      <c r="B122" s="230"/>
      <c r="C122" s="230"/>
      <c r="D122" s="230"/>
      <c r="E122" s="230"/>
      <c r="F122" s="230"/>
      <c r="G122" s="230"/>
      <c r="H122" s="230"/>
      <c r="I122" s="230"/>
      <c r="J122" s="230"/>
      <c r="K122" s="230"/>
      <c r="L122" s="230"/>
      <c r="M122" s="230"/>
      <c r="N122" s="230"/>
      <c r="O122" s="230"/>
      <c r="P122" s="230"/>
      <c r="Q122" s="230"/>
      <c r="R122" s="230"/>
      <c r="S122" s="230"/>
      <c r="T122" s="230"/>
      <c r="U122" s="230"/>
      <c r="V122" s="230"/>
      <c r="W122" s="230"/>
      <c r="X122" s="230"/>
      <c r="Y122" s="230"/>
      <c r="Z122" s="230"/>
      <c r="AA122" s="230"/>
      <c r="AB122" s="230"/>
      <c r="AC122" s="230"/>
      <c r="AD122" s="230"/>
    </row>
    <row r="123" spans="1:30">
      <c r="A123" s="230"/>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row>
    <row r="124" spans="1:30">
      <c r="A124" s="230"/>
      <c r="B124" s="230"/>
      <c r="C124" s="230"/>
      <c r="D124" s="230"/>
      <c r="E124" s="230"/>
      <c r="F124" s="230"/>
      <c r="G124" s="230"/>
      <c r="H124" s="230"/>
      <c r="I124" s="230"/>
      <c r="J124" s="230"/>
      <c r="K124" s="230"/>
      <c r="L124" s="230"/>
      <c r="M124" s="230"/>
      <c r="N124" s="230"/>
      <c r="O124" s="230"/>
      <c r="P124" s="230"/>
      <c r="Q124" s="230"/>
      <c r="R124" s="230"/>
      <c r="S124" s="230"/>
      <c r="T124" s="230"/>
      <c r="U124" s="230"/>
      <c r="V124" s="230"/>
      <c r="W124" s="230"/>
      <c r="X124" s="230"/>
      <c r="Y124" s="230"/>
      <c r="Z124" s="230"/>
      <c r="AA124" s="230"/>
      <c r="AB124" s="230"/>
      <c r="AC124" s="230"/>
      <c r="AD124" s="230"/>
    </row>
    <row r="125" spans="1:30">
      <c r="A125" s="230"/>
      <c r="B125" s="230"/>
      <c r="C125" s="230"/>
      <c r="D125" s="230"/>
      <c r="E125" s="230"/>
      <c r="F125" s="230"/>
      <c r="G125" s="230"/>
      <c r="H125" s="230"/>
      <c r="I125" s="230"/>
      <c r="J125" s="230"/>
      <c r="K125" s="230"/>
      <c r="L125" s="230"/>
      <c r="M125" s="230"/>
      <c r="N125" s="230"/>
      <c r="O125" s="230"/>
      <c r="P125" s="230"/>
      <c r="Q125" s="230"/>
      <c r="R125" s="230"/>
      <c r="S125" s="230"/>
      <c r="T125" s="230"/>
      <c r="U125" s="230"/>
      <c r="V125" s="230"/>
      <c r="W125" s="230"/>
      <c r="X125" s="230"/>
      <c r="Y125" s="230"/>
      <c r="Z125" s="230"/>
      <c r="AA125" s="230"/>
      <c r="AB125" s="230"/>
      <c r="AC125" s="230"/>
      <c r="AD125" s="230"/>
    </row>
    <row r="126" spans="1:30">
      <c r="A126" s="230"/>
      <c r="B126" s="230"/>
      <c r="C126" s="230"/>
      <c r="D126" s="230"/>
      <c r="E126" s="230"/>
      <c r="F126" s="230"/>
      <c r="G126" s="230"/>
      <c r="H126" s="230"/>
      <c r="I126" s="230"/>
      <c r="J126" s="230"/>
      <c r="K126" s="230"/>
      <c r="L126" s="230"/>
      <c r="M126" s="230"/>
      <c r="N126" s="230"/>
      <c r="O126" s="230"/>
      <c r="P126" s="230"/>
      <c r="Q126" s="230"/>
      <c r="R126" s="230"/>
      <c r="S126" s="230"/>
      <c r="T126" s="230"/>
      <c r="U126" s="230"/>
      <c r="V126" s="230"/>
      <c r="W126" s="230"/>
      <c r="X126" s="230"/>
      <c r="Y126" s="230"/>
      <c r="Z126" s="230"/>
      <c r="AA126" s="230"/>
      <c r="AB126" s="230"/>
      <c r="AC126" s="230"/>
      <c r="AD126" s="230"/>
    </row>
    <row r="127" spans="1:30">
      <c r="A127" s="230"/>
      <c r="B127" s="230"/>
      <c r="C127" s="230"/>
      <c r="D127" s="230"/>
      <c r="E127" s="230"/>
      <c r="F127" s="230"/>
      <c r="G127" s="230"/>
      <c r="H127" s="230"/>
      <c r="I127" s="230"/>
      <c r="J127" s="230"/>
      <c r="K127" s="230"/>
      <c r="L127" s="230"/>
      <c r="M127" s="230"/>
      <c r="N127" s="230"/>
      <c r="O127" s="230"/>
      <c r="P127" s="230"/>
      <c r="Q127" s="230"/>
      <c r="R127" s="230"/>
      <c r="S127" s="230"/>
      <c r="T127" s="230"/>
      <c r="U127" s="230"/>
      <c r="V127" s="230"/>
      <c r="W127" s="230"/>
      <c r="X127" s="230"/>
      <c r="Y127" s="230"/>
      <c r="Z127" s="230"/>
      <c r="AA127" s="230"/>
      <c r="AB127" s="230"/>
      <c r="AC127" s="230"/>
      <c r="AD127" s="230"/>
    </row>
    <row r="128" spans="1:30">
      <c r="A128" s="230"/>
      <c r="B128" s="230"/>
      <c r="C128" s="230"/>
      <c r="D128" s="230"/>
      <c r="E128" s="230"/>
      <c r="F128" s="230"/>
      <c r="G128" s="230"/>
      <c r="H128" s="230"/>
      <c r="I128" s="230"/>
      <c r="J128" s="230"/>
      <c r="K128" s="230"/>
      <c r="L128" s="230"/>
      <c r="M128" s="230"/>
      <c r="N128" s="230"/>
      <c r="O128" s="230"/>
      <c r="P128" s="230"/>
      <c r="Q128" s="230"/>
      <c r="R128" s="230"/>
      <c r="S128" s="230"/>
      <c r="T128" s="230"/>
      <c r="U128" s="230"/>
      <c r="V128" s="230"/>
      <c r="W128" s="230"/>
      <c r="X128" s="230"/>
      <c r="Y128" s="230"/>
      <c r="Z128" s="230"/>
      <c r="AA128" s="230"/>
      <c r="AB128" s="230"/>
      <c r="AC128" s="230"/>
      <c r="AD128" s="230"/>
    </row>
    <row r="129" spans="1:30">
      <c r="A129" s="230"/>
      <c r="B129" s="230"/>
      <c r="C129" s="230"/>
      <c r="D129" s="230"/>
      <c r="E129" s="230"/>
      <c r="F129" s="230"/>
      <c r="G129" s="230"/>
      <c r="H129" s="230"/>
      <c r="I129" s="230"/>
      <c r="J129" s="230"/>
      <c r="K129" s="230"/>
      <c r="L129" s="230"/>
      <c r="M129" s="230"/>
      <c r="N129" s="230"/>
      <c r="O129" s="230"/>
      <c r="P129" s="230"/>
      <c r="Q129" s="230"/>
      <c r="R129" s="230"/>
      <c r="S129" s="230"/>
      <c r="T129" s="230"/>
      <c r="U129" s="230"/>
      <c r="V129" s="230"/>
      <c r="W129" s="230"/>
      <c r="X129" s="230"/>
      <c r="Y129" s="230"/>
      <c r="Z129" s="230"/>
      <c r="AA129" s="230"/>
      <c r="AB129" s="230"/>
      <c r="AC129" s="230"/>
      <c r="AD129" s="230"/>
    </row>
    <row r="130" spans="1:30">
      <c r="A130" s="230"/>
      <c r="B130" s="230"/>
      <c r="C130" s="230"/>
      <c r="D130" s="230"/>
      <c r="E130" s="230"/>
      <c r="F130" s="230"/>
      <c r="G130" s="230"/>
      <c r="H130" s="230"/>
      <c r="I130" s="230"/>
      <c r="J130" s="230"/>
      <c r="K130" s="230"/>
      <c r="L130" s="230"/>
      <c r="M130" s="230"/>
      <c r="N130" s="230"/>
      <c r="O130" s="230"/>
      <c r="P130" s="230"/>
      <c r="Q130" s="230"/>
      <c r="R130" s="230"/>
      <c r="S130" s="230"/>
      <c r="T130" s="230"/>
      <c r="U130" s="230"/>
      <c r="V130" s="230"/>
      <c r="W130" s="230"/>
      <c r="X130" s="230"/>
      <c r="Y130" s="230"/>
      <c r="Z130" s="230"/>
      <c r="AA130" s="230"/>
      <c r="AB130" s="230"/>
      <c r="AC130" s="230"/>
      <c r="AD130" s="230"/>
    </row>
    <row r="131" spans="1:30">
      <c r="A131" s="230"/>
      <c r="B131" s="230"/>
      <c r="C131" s="230"/>
      <c r="D131" s="230"/>
      <c r="E131" s="230"/>
      <c r="F131" s="230"/>
      <c r="G131" s="230"/>
      <c r="H131" s="230"/>
      <c r="I131" s="230"/>
      <c r="J131" s="230"/>
      <c r="K131" s="230"/>
      <c r="L131" s="230"/>
      <c r="M131" s="230"/>
      <c r="N131" s="230"/>
      <c r="O131" s="230"/>
      <c r="P131" s="230"/>
      <c r="Q131" s="230"/>
      <c r="R131" s="230"/>
      <c r="S131" s="230"/>
      <c r="T131" s="230"/>
      <c r="U131" s="230"/>
      <c r="V131" s="230"/>
      <c r="W131" s="230"/>
      <c r="X131" s="230"/>
      <c r="Y131" s="230"/>
      <c r="Z131" s="230"/>
      <c r="AA131" s="230"/>
      <c r="AB131" s="230"/>
      <c r="AC131" s="230"/>
      <c r="AD131" s="230"/>
    </row>
    <row r="132" spans="1:30">
      <c r="A132" s="230"/>
      <c r="B132" s="230"/>
      <c r="C132" s="230"/>
      <c r="D132" s="230"/>
      <c r="E132" s="230"/>
      <c r="F132" s="230"/>
      <c r="G132" s="230"/>
      <c r="H132" s="230"/>
      <c r="I132" s="230"/>
      <c r="J132" s="230"/>
      <c r="K132" s="230"/>
      <c r="L132" s="230"/>
      <c r="M132" s="230"/>
      <c r="N132" s="230"/>
      <c r="O132" s="230"/>
      <c r="P132" s="230"/>
      <c r="Q132" s="230"/>
      <c r="R132" s="230"/>
      <c r="S132" s="230"/>
      <c r="T132" s="230"/>
      <c r="U132" s="230"/>
      <c r="V132" s="230"/>
      <c r="W132" s="230"/>
      <c r="X132" s="230"/>
      <c r="Y132" s="230"/>
      <c r="Z132" s="230"/>
      <c r="AA132" s="230"/>
      <c r="AB132" s="230"/>
      <c r="AC132" s="230"/>
      <c r="AD132" s="230"/>
    </row>
    <row r="133" spans="1:30">
      <c r="A133" s="230"/>
      <c r="B133" s="230"/>
      <c r="C133" s="230"/>
      <c r="D133" s="230"/>
      <c r="E133" s="230"/>
      <c r="F133" s="230"/>
      <c r="G133" s="230"/>
      <c r="H133" s="230"/>
      <c r="I133" s="230"/>
      <c r="J133" s="230"/>
      <c r="K133" s="230"/>
      <c r="L133" s="230"/>
      <c r="M133" s="230"/>
      <c r="N133" s="230"/>
      <c r="O133" s="230"/>
      <c r="P133" s="230"/>
      <c r="Q133" s="230"/>
      <c r="R133" s="230"/>
      <c r="S133" s="230"/>
      <c r="T133" s="230"/>
      <c r="U133" s="230"/>
      <c r="V133" s="230"/>
      <c r="W133" s="230"/>
      <c r="X133" s="230"/>
      <c r="Y133" s="230"/>
      <c r="Z133" s="230"/>
      <c r="AA133" s="230"/>
      <c r="AB133" s="230"/>
      <c r="AC133" s="230"/>
      <c r="AD133" s="230"/>
    </row>
    <row r="134" spans="1:30">
      <c r="A134" s="230"/>
      <c r="B134" s="230"/>
      <c r="C134" s="230"/>
      <c r="D134" s="230"/>
      <c r="E134" s="230"/>
      <c r="F134" s="230"/>
      <c r="G134" s="230"/>
      <c r="H134" s="230"/>
      <c r="I134" s="230"/>
      <c r="J134" s="230"/>
      <c r="K134" s="230"/>
      <c r="L134" s="230"/>
      <c r="M134" s="230"/>
      <c r="N134" s="230"/>
      <c r="O134" s="230"/>
      <c r="P134" s="230"/>
      <c r="Q134" s="230"/>
      <c r="R134" s="230"/>
      <c r="S134" s="230"/>
      <c r="T134" s="230"/>
      <c r="U134" s="230"/>
      <c r="V134" s="230"/>
      <c r="W134" s="230"/>
      <c r="X134" s="230"/>
      <c r="Y134" s="230"/>
      <c r="Z134" s="230"/>
      <c r="AA134" s="230"/>
      <c r="AB134" s="230"/>
      <c r="AC134" s="230"/>
      <c r="AD134" s="230"/>
    </row>
    <row r="135" spans="1:30">
      <c r="A135" s="230"/>
      <c r="B135" s="230"/>
      <c r="C135" s="230"/>
      <c r="D135" s="230"/>
      <c r="E135" s="230"/>
      <c r="F135" s="230"/>
      <c r="G135" s="230"/>
      <c r="H135" s="230"/>
      <c r="I135" s="230"/>
      <c r="J135" s="230"/>
      <c r="K135" s="230"/>
      <c r="L135" s="230"/>
      <c r="M135" s="230"/>
      <c r="N135" s="230"/>
      <c r="O135" s="230"/>
      <c r="P135" s="230"/>
      <c r="Q135" s="230"/>
      <c r="R135" s="230"/>
      <c r="S135" s="230"/>
      <c r="T135" s="230"/>
      <c r="U135" s="230"/>
      <c r="V135" s="230"/>
      <c r="W135" s="230"/>
      <c r="X135" s="230"/>
      <c r="Y135" s="230"/>
      <c r="Z135" s="230"/>
      <c r="AA135" s="230"/>
      <c r="AB135" s="230"/>
      <c r="AC135" s="230"/>
      <c r="AD135" s="230"/>
    </row>
    <row r="136" spans="1:30">
      <c r="A136" s="230"/>
      <c r="B136" s="230"/>
      <c r="C136" s="230"/>
      <c r="D136" s="230"/>
      <c r="E136" s="230"/>
      <c r="F136" s="230"/>
      <c r="G136" s="230"/>
      <c r="H136" s="230"/>
      <c r="I136" s="230"/>
      <c r="J136" s="230"/>
      <c r="K136" s="230"/>
      <c r="L136" s="230"/>
      <c r="M136" s="230"/>
      <c r="N136" s="230"/>
      <c r="O136" s="230"/>
      <c r="P136" s="230"/>
      <c r="Q136" s="230"/>
      <c r="R136" s="230"/>
      <c r="S136" s="230"/>
      <c r="T136" s="230"/>
      <c r="U136" s="230"/>
      <c r="V136" s="230"/>
      <c r="W136" s="230"/>
      <c r="X136" s="230"/>
      <c r="Y136" s="230"/>
      <c r="Z136" s="230"/>
      <c r="AA136" s="230"/>
      <c r="AB136" s="230"/>
      <c r="AC136" s="230"/>
      <c r="AD136" s="230"/>
    </row>
    <row r="137" spans="1:30">
      <c r="A137" s="230"/>
      <c r="B137" s="230"/>
      <c r="C137" s="230"/>
      <c r="D137" s="230"/>
      <c r="E137" s="230"/>
      <c r="F137" s="230"/>
      <c r="G137" s="230"/>
      <c r="H137" s="230"/>
      <c r="I137" s="230"/>
      <c r="J137" s="230"/>
      <c r="K137" s="230"/>
      <c r="L137" s="230"/>
      <c r="M137" s="230"/>
      <c r="N137" s="230"/>
      <c r="O137" s="230"/>
      <c r="P137" s="230"/>
      <c r="Q137" s="230"/>
      <c r="R137" s="230"/>
      <c r="S137" s="230"/>
      <c r="T137" s="230"/>
      <c r="U137" s="230"/>
      <c r="V137" s="230"/>
      <c r="W137" s="230"/>
      <c r="X137" s="230"/>
      <c r="Y137" s="230"/>
      <c r="Z137" s="230"/>
      <c r="AA137" s="230"/>
      <c r="AB137" s="230"/>
      <c r="AC137" s="230"/>
      <c r="AD137" s="230"/>
    </row>
    <row r="138" spans="1:30">
      <c r="A138" s="230"/>
      <c r="B138" s="230"/>
      <c r="C138" s="230"/>
      <c r="D138" s="230"/>
      <c r="E138" s="230"/>
      <c r="F138" s="230"/>
      <c r="G138" s="230"/>
      <c r="H138" s="230"/>
      <c r="I138" s="230"/>
      <c r="J138" s="230"/>
      <c r="K138" s="230"/>
      <c r="L138" s="230"/>
      <c r="M138" s="230"/>
      <c r="N138" s="230"/>
      <c r="O138" s="230"/>
      <c r="P138" s="230"/>
      <c r="Q138" s="230"/>
      <c r="R138" s="230"/>
      <c r="S138" s="230"/>
      <c r="T138" s="230"/>
      <c r="U138" s="230"/>
      <c r="V138" s="230"/>
      <c r="W138" s="230"/>
      <c r="X138" s="230"/>
      <c r="Y138" s="230"/>
      <c r="Z138" s="230"/>
      <c r="AA138" s="230"/>
      <c r="AB138" s="230"/>
      <c r="AC138" s="230"/>
      <c r="AD138" s="230"/>
    </row>
    <row r="139" spans="1:30">
      <c r="A139" s="230"/>
      <c r="B139" s="230"/>
      <c r="C139" s="230"/>
      <c r="D139" s="230"/>
      <c r="E139" s="230"/>
      <c r="F139" s="230"/>
      <c r="G139" s="230"/>
      <c r="H139" s="230"/>
      <c r="I139" s="230"/>
      <c r="J139" s="230"/>
      <c r="K139" s="230"/>
      <c r="L139" s="230"/>
      <c r="M139" s="230"/>
      <c r="N139" s="230"/>
      <c r="O139" s="230"/>
      <c r="P139" s="230"/>
      <c r="Q139" s="230"/>
      <c r="R139" s="230"/>
      <c r="S139" s="230"/>
      <c r="T139" s="230"/>
      <c r="U139" s="230"/>
      <c r="V139" s="230"/>
      <c r="W139" s="230"/>
      <c r="X139" s="230"/>
      <c r="Y139" s="230"/>
      <c r="Z139" s="230"/>
      <c r="AA139" s="230"/>
      <c r="AB139" s="230"/>
      <c r="AC139" s="230"/>
      <c r="AD139" s="230"/>
    </row>
    <row r="140" spans="1:30">
      <c r="A140" s="230"/>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row>
    <row r="141" spans="1:30">
      <c r="A141" s="230"/>
      <c r="B141" s="230"/>
      <c r="C141" s="230"/>
      <c r="D141" s="230"/>
      <c r="E141" s="230"/>
      <c r="F141" s="230"/>
      <c r="G141" s="230"/>
      <c r="H141" s="230"/>
      <c r="I141" s="230"/>
      <c r="J141" s="230"/>
      <c r="K141" s="230"/>
      <c r="L141" s="230"/>
      <c r="M141" s="230"/>
      <c r="N141" s="230"/>
      <c r="O141" s="230"/>
      <c r="P141" s="230"/>
      <c r="Q141" s="230"/>
      <c r="R141" s="230"/>
      <c r="S141" s="230"/>
      <c r="T141" s="230"/>
      <c r="U141" s="230"/>
      <c r="V141" s="230"/>
      <c r="W141" s="230"/>
      <c r="X141" s="230"/>
      <c r="Y141" s="230"/>
      <c r="Z141" s="230"/>
      <c r="AA141" s="230"/>
      <c r="AB141" s="230"/>
      <c r="AC141" s="230"/>
      <c r="AD141" s="230"/>
    </row>
    <row r="142" spans="1:30">
      <c r="A142" s="230"/>
      <c r="B142" s="230"/>
      <c r="C142" s="230"/>
      <c r="D142" s="230"/>
      <c r="E142" s="230"/>
      <c r="F142" s="230"/>
      <c r="G142" s="230"/>
      <c r="H142" s="230"/>
      <c r="I142" s="230"/>
      <c r="J142" s="230"/>
      <c r="K142" s="230"/>
      <c r="L142" s="230"/>
      <c r="M142" s="230"/>
      <c r="N142" s="230"/>
      <c r="O142" s="230"/>
      <c r="P142" s="230"/>
      <c r="Q142" s="230"/>
      <c r="R142" s="230"/>
      <c r="S142" s="230"/>
      <c r="T142" s="230"/>
      <c r="U142" s="230"/>
      <c r="V142" s="230"/>
      <c r="W142" s="230"/>
      <c r="X142" s="230"/>
      <c r="Y142" s="230"/>
      <c r="Z142" s="230"/>
      <c r="AA142" s="230"/>
      <c r="AB142" s="230"/>
      <c r="AC142" s="230"/>
      <c r="AD142" s="230"/>
    </row>
    <row r="143" spans="1:30">
      <c r="A143" s="230"/>
      <c r="B143" s="230"/>
      <c r="C143" s="230"/>
      <c r="D143" s="230"/>
      <c r="E143" s="230"/>
      <c r="F143" s="230"/>
      <c r="G143" s="230"/>
      <c r="H143" s="230"/>
      <c r="I143" s="230"/>
      <c r="J143" s="230"/>
      <c r="K143" s="230"/>
      <c r="L143" s="230"/>
      <c r="M143" s="230"/>
      <c r="N143" s="230"/>
      <c r="O143" s="230"/>
      <c r="P143" s="230"/>
      <c r="Q143" s="230"/>
      <c r="R143" s="230"/>
      <c r="S143" s="230"/>
      <c r="T143" s="230"/>
      <c r="U143" s="230"/>
      <c r="V143" s="230"/>
      <c r="W143" s="230"/>
      <c r="X143" s="230"/>
      <c r="Y143" s="230"/>
      <c r="Z143" s="230"/>
      <c r="AA143" s="230"/>
      <c r="AB143" s="230"/>
      <c r="AC143" s="230"/>
      <c r="AD143" s="230"/>
    </row>
    <row r="144" spans="1:30">
      <c r="A144" s="230"/>
      <c r="B144" s="230"/>
      <c r="C144" s="230"/>
      <c r="D144" s="230"/>
      <c r="E144" s="230"/>
      <c r="F144" s="230"/>
      <c r="G144" s="230"/>
      <c r="H144" s="230"/>
      <c r="I144" s="230"/>
      <c r="J144" s="230"/>
      <c r="K144" s="230"/>
      <c r="L144" s="230"/>
      <c r="M144" s="230"/>
      <c r="N144" s="230"/>
      <c r="O144" s="230"/>
      <c r="P144" s="230"/>
      <c r="Q144" s="230"/>
      <c r="R144" s="230"/>
      <c r="S144" s="230"/>
      <c r="T144" s="230"/>
      <c r="U144" s="230"/>
      <c r="V144" s="230"/>
      <c r="W144" s="230"/>
      <c r="X144" s="230"/>
      <c r="Y144" s="230"/>
      <c r="Z144" s="230"/>
      <c r="AA144" s="230"/>
      <c r="AB144" s="230"/>
      <c r="AC144" s="230"/>
      <c r="AD144" s="230"/>
    </row>
    <row r="145" spans="1:30">
      <c r="A145" s="230"/>
      <c r="B145" s="230"/>
      <c r="C145" s="230"/>
      <c r="D145" s="230"/>
      <c r="E145" s="230"/>
      <c r="F145" s="230"/>
      <c r="G145" s="230"/>
      <c r="H145" s="230"/>
      <c r="I145" s="230"/>
      <c r="J145" s="230"/>
      <c r="K145" s="230"/>
      <c r="L145" s="230"/>
      <c r="M145" s="230"/>
      <c r="N145" s="230"/>
      <c r="O145" s="230"/>
      <c r="P145" s="230"/>
      <c r="Q145" s="230"/>
      <c r="R145" s="230"/>
      <c r="S145" s="230"/>
      <c r="T145" s="230"/>
      <c r="U145" s="230"/>
      <c r="V145" s="230"/>
      <c r="W145" s="230"/>
      <c r="X145" s="230"/>
      <c r="Y145" s="230"/>
      <c r="Z145" s="230"/>
      <c r="AA145" s="230"/>
      <c r="AB145" s="230"/>
      <c r="AC145" s="230"/>
      <c r="AD145" s="230"/>
    </row>
    <row r="146" spans="1:30">
      <c r="A146" s="230"/>
      <c r="B146" s="230"/>
      <c r="C146" s="230"/>
      <c r="D146" s="230"/>
      <c r="E146" s="230"/>
      <c r="F146" s="230"/>
      <c r="G146" s="230"/>
      <c r="H146" s="230"/>
      <c r="I146" s="230"/>
      <c r="J146" s="230"/>
      <c r="K146" s="230"/>
      <c r="L146" s="230"/>
      <c r="M146" s="230"/>
      <c r="N146" s="230"/>
      <c r="O146" s="230"/>
      <c r="P146" s="230"/>
      <c r="Q146" s="230"/>
      <c r="R146" s="230"/>
      <c r="S146" s="230"/>
      <c r="T146" s="230"/>
      <c r="U146" s="230"/>
      <c r="V146" s="230"/>
      <c r="W146" s="230"/>
      <c r="X146" s="230"/>
      <c r="Y146" s="230"/>
      <c r="Z146" s="230"/>
      <c r="AA146" s="230"/>
      <c r="AB146" s="230"/>
      <c r="AC146" s="230"/>
      <c r="AD146" s="230"/>
    </row>
    <row r="147" spans="1:30">
      <c r="A147" s="230"/>
      <c r="B147" s="230"/>
      <c r="C147" s="230"/>
      <c r="D147" s="230"/>
      <c r="E147" s="230"/>
      <c r="F147" s="230"/>
      <c r="G147" s="230"/>
      <c r="H147" s="230"/>
      <c r="I147" s="230"/>
      <c r="J147" s="230"/>
      <c r="K147" s="230"/>
      <c r="L147" s="230"/>
      <c r="M147" s="230"/>
      <c r="N147" s="230"/>
      <c r="O147" s="230"/>
      <c r="P147" s="230"/>
      <c r="Q147" s="230"/>
      <c r="R147" s="230"/>
      <c r="S147" s="230"/>
      <c r="T147" s="230"/>
      <c r="U147" s="230"/>
      <c r="V147" s="230"/>
      <c r="W147" s="230"/>
      <c r="X147" s="230"/>
      <c r="Y147" s="230"/>
      <c r="Z147" s="230"/>
      <c r="AA147" s="230"/>
      <c r="AB147" s="230"/>
      <c r="AC147" s="230"/>
      <c r="AD147" s="230"/>
    </row>
    <row r="148" spans="1:30">
      <c r="A148" s="230"/>
      <c r="B148" s="230"/>
      <c r="C148" s="230"/>
      <c r="D148" s="230"/>
      <c r="E148" s="230"/>
      <c r="F148" s="230"/>
      <c r="G148" s="230"/>
      <c r="H148" s="230"/>
      <c r="I148" s="230"/>
      <c r="J148" s="230"/>
      <c r="K148" s="230"/>
      <c r="L148" s="230"/>
      <c r="M148" s="230"/>
      <c r="N148" s="230"/>
      <c r="O148" s="230"/>
      <c r="P148" s="230"/>
      <c r="Q148" s="230"/>
      <c r="R148" s="230"/>
      <c r="S148" s="230"/>
      <c r="T148" s="230"/>
      <c r="U148" s="230"/>
      <c r="V148" s="230"/>
      <c r="W148" s="230"/>
      <c r="X148" s="230"/>
      <c r="Y148" s="230"/>
      <c r="Z148" s="230"/>
      <c r="AA148" s="230"/>
      <c r="AB148" s="230"/>
      <c r="AC148" s="230"/>
      <c r="AD148" s="230"/>
    </row>
    <row r="149" spans="1:30">
      <c r="A149" s="230"/>
      <c r="B149" s="230"/>
      <c r="C149" s="230"/>
      <c r="D149" s="230"/>
      <c r="E149" s="230"/>
      <c r="F149" s="230"/>
      <c r="G149" s="230"/>
      <c r="H149" s="230"/>
      <c r="I149" s="230"/>
      <c r="J149" s="230"/>
      <c r="K149" s="230"/>
      <c r="L149" s="230"/>
      <c r="M149" s="230"/>
      <c r="N149" s="230"/>
      <c r="O149" s="230"/>
      <c r="P149" s="230"/>
      <c r="Q149" s="230"/>
      <c r="R149" s="230"/>
      <c r="S149" s="230"/>
      <c r="T149" s="230"/>
      <c r="U149" s="230"/>
      <c r="V149" s="230"/>
      <c r="W149" s="230"/>
      <c r="X149" s="230"/>
      <c r="Y149" s="230"/>
      <c r="Z149" s="230"/>
      <c r="AA149" s="230"/>
      <c r="AB149" s="230"/>
      <c r="AC149" s="230"/>
      <c r="AD149" s="230"/>
    </row>
    <row r="150" spans="1:30">
      <c r="A150" s="230"/>
      <c r="B150" s="230"/>
      <c r="C150" s="230"/>
      <c r="D150" s="230"/>
      <c r="E150" s="230"/>
      <c r="F150" s="230"/>
      <c r="G150" s="230"/>
      <c r="H150" s="230"/>
      <c r="I150" s="230"/>
      <c r="J150" s="230"/>
      <c r="K150" s="230"/>
      <c r="L150" s="230"/>
      <c r="M150" s="230"/>
      <c r="N150" s="230"/>
      <c r="O150" s="230"/>
      <c r="P150" s="230"/>
      <c r="Q150" s="230"/>
      <c r="R150" s="230"/>
      <c r="S150" s="230"/>
      <c r="T150" s="230"/>
      <c r="U150" s="230"/>
      <c r="V150" s="230"/>
      <c r="W150" s="230"/>
      <c r="X150" s="230"/>
      <c r="Y150" s="230"/>
      <c r="Z150" s="230"/>
      <c r="AA150" s="230"/>
      <c r="AB150" s="230"/>
      <c r="AC150" s="230"/>
      <c r="AD150" s="230"/>
    </row>
    <row r="151" spans="1:30">
      <c r="A151" s="230"/>
      <c r="B151" s="230"/>
      <c r="C151" s="230"/>
      <c r="D151" s="230"/>
      <c r="E151" s="230"/>
      <c r="F151" s="230"/>
      <c r="G151" s="230"/>
      <c r="H151" s="230"/>
      <c r="I151" s="230"/>
      <c r="J151" s="230"/>
      <c r="K151" s="230"/>
      <c r="L151" s="230"/>
      <c r="M151" s="230"/>
      <c r="N151" s="230"/>
      <c r="O151" s="230"/>
      <c r="P151" s="230"/>
      <c r="Q151" s="230"/>
      <c r="R151" s="230"/>
      <c r="S151" s="230"/>
      <c r="T151" s="230"/>
      <c r="U151" s="230"/>
      <c r="V151" s="230"/>
      <c r="W151" s="230"/>
      <c r="X151" s="230"/>
      <c r="Y151" s="230"/>
      <c r="Z151" s="230"/>
      <c r="AA151" s="230"/>
      <c r="AB151" s="230"/>
      <c r="AC151" s="230"/>
      <c r="AD151" s="230"/>
    </row>
    <row r="152" spans="1:30">
      <c r="A152" s="230"/>
      <c r="B152" s="230"/>
      <c r="C152" s="230"/>
      <c r="D152" s="230"/>
      <c r="E152" s="230"/>
      <c r="F152" s="230"/>
      <c r="G152" s="230"/>
      <c r="H152" s="230"/>
      <c r="I152" s="230"/>
      <c r="J152" s="230"/>
      <c r="K152" s="230"/>
      <c r="L152" s="230"/>
      <c r="M152" s="230"/>
      <c r="N152" s="230"/>
      <c r="O152" s="230"/>
      <c r="P152" s="230"/>
      <c r="Q152" s="230"/>
      <c r="R152" s="230"/>
      <c r="S152" s="230"/>
      <c r="T152" s="230"/>
      <c r="U152" s="230"/>
      <c r="V152" s="230"/>
      <c r="W152" s="230"/>
      <c r="X152" s="230"/>
      <c r="Y152" s="230"/>
      <c r="Z152" s="230"/>
      <c r="AA152" s="230"/>
      <c r="AB152" s="230"/>
      <c r="AC152" s="230"/>
      <c r="AD152" s="230"/>
    </row>
    <row r="153" spans="1:30">
      <c r="A153" s="230"/>
      <c r="B153" s="230"/>
      <c r="C153" s="230"/>
      <c r="D153" s="230"/>
      <c r="E153" s="230"/>
      <c r="F153" s="230"/>
      <c r="G153" s="230"/>
      <c r="H153" s="230"/>
      <c r="I153" s="230"/>
      <c r="J153" s="230"/>
      <c r="K153" s="230"/>
      <c r="L153" s="230"/>
      <c r="M153" s="230"/>
      <c r="N153" s="230"/>
      <c r="O153" s="230"/>
      <c r="P153" s="230"/>
      <c r="Q153" s="230"/>
      <c r="R153" s="230"/>
      <c r="S153" s="230"/>
      <c r="T153" s="230"/>
      <c r="U153" s="230"/>
      <c r="V153" s="230"/>
      <c r="W153" s="230"/>
      <c r="X153" s="230"/>
      <c r="Y153" s="230"/>
      <c r="Z153" s="230"/>
      <c r="AA153" s="230"/>
      <c r="AB153" s="230"/>
      <c r="AC153" s="230"/>
      <c r="AD153" s="230"/>
    </row>
    <row r="154" spans="1:30">
      <c r="A154" s="230"/>
      <c r="B154" s="230"/>
      <c r="C154" s="230"/>
      <c r="D154" s="230"/>
      <c r="E154" s="230"/>
      <c r="F154" s="230"/>
      <c r="G154" s="230"/>
      <c r="H154" s="230"/>
      <c r="I154" s="230"/>
      <c r="J154" s="230"/>
      <c r="K154" s="230"/>
      <c r="L154" s="230"/>
      <c r="M154" s="230"/>
      <c r="N154" s="230"/>
      <c r="O154" s="230"/>
      <c r="P154" s="230"/>
      <c r="Q154" s="230"/>
      <c r="R154" s="230"/>
      <c r="S154" s="230"/>
      <c r="T154" s="230"/>
      <c r="U154" s="230"/>
      <c r="V154" s="230"/>
      <c r="W154" s="230"/>
      <c r="X154" s="230"/>
      <c r="Y154" s="230"/>
      <c r="Z154" s="230"/>
      <c r="AA154" s="230"/>
      <c r="AB154" s="230"/>
      <c r="AC154" s="230"/>
      <c r="AD154" s="230"/>
    </row>
    <row r="155" spans="1:30">
      <c r="A155" s="230"/>
      <c r="B155" s="230"/>
      <c r="C155" s="230"/>
      <c r="D155" s="230"/>
      <c r="E155" s="230"/>
      <c r="F155" s="230"/>
      <c r="G155" s="230"/>
      <c r="H155" s="230"/>
      <c r="I155" s="230"/>
      <c r="J155" s="230"/>
      <c r="K155" s="230"/>
      <c r="L155" s="230"/>
      <c r="M155" s="230"/>
      <c r="N155" s="230"/>
      <c r="O155" s="230"/>
      <c r="P155" s="230"/>
      <c r="Q155" s="230"/>
      <c r="R155" s="230"/>
      <c r="S155" s="230"/>
      <c r="T155" s="230"/>
      <c r="U155" s="230"/>
      <c r="V155" s="230"/>
      <c r="W155" s="230"/>
      <c r="X155" s="230"/>
      <c r="Y155" s="230"/>
      <c r="Z155" s="230"/>
      <c r="AA155" s="230"/>
      <c r="AB155" s="230"/>
      <c r="AC155" s="230"/>
      <c r="AD155" s="230"/>
    </row>
    <row r="156" spans="1:30">
      <c r="A156" s="230"/>
      <c r="B156" s="230"/>
      <c r="C156" s="230"/>
      <c r="D156" s="230"/>
      <c r="E156" s="230"/>
      <c r="F156" s="230"/>
      <c r="G156" s="230"/>
      <c r="H156" s="230"/>
      <c r="I156" s="230"/>
      <c r="J156" s="230"/>
      <c r="K156" s="230"/>
      <c r="L156" s="230"/>
      <c r="M156" s="230"/>
      <c r="N156" s="230"/>
      <c r="O156" s="230"/>
      <c r="P156" s="230"/>
      <c r="Q156" s="230"/>
      <c r="R156" s="230"/>
      <c r="S156" s="230"/>
      <c r="T156" s="230"/>
      <c r="U156" s="230"/>
      <c r="V156" s="230"/>
      <c r="W156" s="230"/>
      <c r="X156" s="230"/>
      <c r="Y156" s="230"/>
      <c r="Z156" s="230"/>
      <c r="AA156" s="230"/>
      <c r="AB156" s="230"/>
      <c r="AC156" s="230"/>
      <c r="AD156" s="230"/>
    </row>
    <row r="157" spans="1:30">
      <c r="A157" s="230"/>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row>
    <row r="158" spans="1:30">
      <c r="A158" s="230"/>
      <c r="B158" s="230"/>
      <c r="C158" s="230"/>
      <c r="D158" s="230"/>
      <c r="E158" s="230"/>
      <c r="F158" s="230"/>
      <c r="G158" s="230"/>
      <c r="H158" s="230"/>
      <c r="I158" s="230"/>
      <c r="J158" s="230"/>
      <c r="K158" s="230"/>
      <c r="L158" s="230"/>
      <c r="M158" s="230"/>
      <c r="N158" s="230"/>
      <c r="O158" s="230"/>
      <c r="P158" s="230"/>
      <c r="Q158" s="230"/>
      <c r="R158" s="230"/>
      <c r="S158" s="230"/>
      <c r="T158" s="230"/>
      <c r="U158" s="230"/>
      <c r="V158" s="230"/>
      <c r="W158" s="230"/>
      <c r="X158" s="230"/>
      <c r="Y158" s="230"/>
      <c r="Z158" s="230"/>
      <c r="AA158" s="230"/>
      <c r="AB158" s="230"/>
      <c r="AC158" s="230"/>
      <c r="AD158" s="230"/>
    </row>
    <row r="159" spans="1:30">
      <c r="A159" s="230"/>
      <c r="B159" s="230"/>
      <c r="C159" s="230"/>
      <c r="D159" s="230"/>
      <c r="E159" s="230"/>
      <c r="F159" s="230"/>
      <c r="G159" s="230"/>
      <c r="H159" s="230"/>
      <c r="I159" s="230"/>
      <c r="J159" s="230"/>
      <c r="K159" s="230"/>
      <c r="L159" s="230"/>
      <c r="M159" s="230"/>
      <c r="N159" s="230"/>
      <c r="O159" s="230"/>
      <c r="P159" s="230"/>
      <c r="Q159" s="230"/>
      <c r="R159" s="230"/>
      <c r="S159" s="230"/>
      <c r="T159" s="230"/>
      <c r="U159" s="230"/>
      <c r="V159" s="230"/>
      <c r="W159" s="230"/>
      <c r="X159" s="230"/>
      <c r="Y159" s="230"/>
      <c r="Z159" s="230"/>
      <c r="AA159" s="230"/>
      <c r="AB159" s="230"/>
      <c r="AC159" s="230"/>
      <c r="AD159" s="230"/>
    </row>
    <row r="160" spans="1:30">
      <c r="A160" s="230"/>
      <c r="B160" s="230"/>
      <c r="C160" s="230"/>
      <c r="D160" s="230"/>
      <c r="E160" s="230"/>
      <c r="F160" s="230"/>
      <c r="G160" s="230"/>
      <c r="H160" s="230"/>
      <c r="I160" s="230"/>
      <c r="J160" s="230"/>
      <c r="K160" s="230"/>
      <c r="L160" s="230"/>
      <c r="M160" s="230"/>
      <c r="N160" s="230"/>
      <c r="O160" s="230"/>
      <c r="P160" s="230"/>
      <c r="Q160" s="230"/>
      <c r="R160" s="230"/>
      <c r="S160" s="230"/>
      <c r="T160" s="230"/>
      <c r="U160" s="230"/>
      <c r="V160" s="230"/>
      <c r="W160" s="230"/>
      <c r="X160" s="230"/>
      <c r="Y160" s="230"/>
      <c r="Z160" s="230"/>
      <c r="AA160" s="230"/>
      <c r="AB160" s="230"/>
      <c r="AC160" s="230"/>
      <c r="AD160" s="230"/>
    </row>
    <row r="161" spans="1:30">
      <c r="A161" s="230"/>
      <c r="B161" s="230"/>
      <c r="C161" s="230"/>
      <c r="D161" s="230"/>
      <c r="E161" s="230"/>
      <c r="F161" s="230"/>
      <c r="G161" s="230"/>
      <c r="H161" s="230"/>
      <c r="I161" s="230"/>
      <c r="J161" s="230"/>
      <c r="K161" s="230"/>
      <c r="L161" s="230"/>
      <c r="M161" s="230"/>
      <c r="N161" s="230"/>
      <c r="O161" s="230"/>
      <c r="P161" s="230"/>
      <c r="Q161" s="230"/>
      <c r="R161" s="230"/>
      <c r="S161" s="230"/>
      <c r="T161" s="230"/>
      <c r="U161" s="230"/>
      <c r="V161" s="230"/>
      <c r="W161" s="230"/>
      <c r="X161" s="230"/>
      <c r="Y161" s="230"/>
      <c r="Z161" s="230"/>
      <c r="AA161" s="230"/>
      <c r="AB161" s="230"/>
      <c r="AC161" s="230"/>
      <c r="AD161" s="230"/>
    </row>
    <row r="162" spans="1:30">
      <c r="A162" s="230"/>
      <c r="B162" s="230"/>
      <c r="C162" s="230"/>
      <c r="D162" s="230"/>
      <c r="E162" s="230"/>
      <c r="F162" s="230"/>
      <c r="G162" s="230"/>
      <c r="H162" s="230"/>
      <c r="I162" s="230"/>
      <c r="J162" s="230"/>
      <c r="K162" s="230"/>
      <c r="L162" s="230"/>
      <c r="M162" s="230"/>
      <c r="N162" s="230"/>
      <c r="O162" s="230"/>
      <c r="P162" s="230"/>
      <c r="Q162" s="230"/>
      <c r="R162" s="230"/>
      <c r="S162" s="230"/>
      <c r="T162" s="230"/>
      <c r="U162" s="230"/>
      <c r="V162" s="230"/>
      <c r="W162" s="230"/>
      <c r="X162" s="230"/>
      <c r="Y162" s="230"/>
      <c r="Z162" s="230"/>
      <c r="AA162" s="230"/>
      <c r="AB162" s="230"/>
      <c r="AC162" s="230"/>
      <c r="AD162" s="230"/>
    </row>
    <row r="163" spans="1:30">
      <c r="A163" s="230"/>
      <c r="B163" s="230"/>
      <c r="C163" s="230"/>
      <c r="D163" s="230"/>
      <c r="E163" s="230"/>
      <c r="F163" s="230"/>
      <c r="G163" s="230"/>
      <c r="H163" s="230"/>
      <c r="I163" s="230"/>
      <c r="J163" s="230"/>
      <c r="K163" s="230"/>
      <c r="L163" s="230"/>
      <c r="M163" s="230"/>
      <c r="N163" s="230"/>
      <c r="O163" s="230"/>
      <c r="P163" s="230"/>
      <c r="Q163" s="230"/>
      <c r="R163" s="230"/>
      <c r="S163" s="230"/>
      <c r="T163" s="230"/>
      <c r="U163" s="230"/>
      <c r="V163" s="230"/>
      <c r="W163" s="230"/>
      <c r="X163" s="230"/>
      <c r="Y163" s="230"/>
      <c r="Z163" s="230"/>
      <c r="AA163" s="230"/>
      <c r="AB163" s="230"/>
      <c r="AC163" s="230"/>
      <c r="AD163" s="230"/>
    </row>
    <row r="164" spans="1:30">
      <c r="A164" s="230"/>
      <c r="B164" s="230"/>
      <c r="C164" s="230"/>
      <c r="D164" s="230"/>
      <c r="E164" s="230"/>
      <c r="F164" s="230"/>
      <c r="G164" s="230"/>
      <c r="H164" s="230"/>
      <c r="I164" s="230"/>
      <c r="J164" s="230"/>
      <c r="K164" s="230"/>
      <c r="L164" s="230"/>
      <c r="M164" s="230"/>
      <c r="N164" s="230"/>
      <c r="O164" s="230"/>
      <c r="P164" s="230"/>
      <c r="Q164" s="230"/>
      <c r="R164" s="230"/>
      <c r="S164" s="230"/>
      <c r="T164" s="230"/>
      <c r="U164" s="230"/>
      <c r="V164" s="230"/>
      <c r="W164" s="230"/>
      <c r="X164" s="230"/>
      <c r="Y164" s="230"/>
      <c r="Z164" s="230"/>
      <c r="AA164" s="230"/>
      <c r="AB164" s="230"/>
      <c r="AC164" s="230"/>
      <c r="AD164" s="230"/>
    </row>
    <row r="165" spans="1:30">
      <c r="A165" s="230"/>
      <c r="B165" s="230"/>
      <c r="C165" s="230"/>
      <c r="D165" s="230"/>
      <c r="E165" s="230"/>
      <c r="F165" s="230"/>
      <c r="G165" s="230"/>
      <c r="H165" s="230"/>
      <c r="I165" s="230"/>
      <c r="J165" s="230"/>
      <c r="K165" s="230"/>
      <c r="L165" s="230"/>
      <c r="M165" s="230"/>
      <c r="N165" s="230"/>
      <c r="O165" s="230"/>
      <c r="P165" s="230"/>
      <c r="Q165" s="230"/>
      <c r="R165" s="230"/>
      <c r="S165" s="230"/>
      <c r="T165" s="230"/>
      <c r="U165" s="230"/>
      <c r="V165" s="230"/>
      <c r="W165" s="230"/>
      <c r="X165" s="230"/>
      <c r="Y165" s="230"/>
      <c r="Z165" s="230"/>
      <c r="AA165" s="230"/>
      <c r="AB165" s="230"/>
      <c r="AC165" s="230"/>
      <c r="AD165" s="230"/>
    </row>
    <row r="166" spans="1:30">
      <c r="A166" s="230"/>
      <c r="B166" s="230"/>
      <c r="C166" s="230"/>
      <c r="D166" s="230"/>
      <c r="E166" s="230"/>
      <c r="F166" s="230"/>
      <c r="G166" s="230"/>
      <c r="H166" s="230"/>
      <c r="I166" s="230"/>
      <c r="J166" s="230"/>
      <c r="K166" s="230"/>
      <c r="L166" s="230"/>
      <c r="M166" s="230"/>
      <c r="N166" s="230"/>
      <c r="O166" s="230"/>
      <c r="P166" s="230"/>
      <c r="Q166" s="230"/>
      <c r="R166" s="230"/>
      <c r="S166" s="230"/>
      <c r="T166" s="230"/>
      <c r="U166" s="230"/>
      <c r="V166" s="230"/>
      <c r="W166" s="230"/>
      <c r="X166" s="230"/>
      <c r="Y166" s="230"/>
      <c r="Z166" s="230"/>
      <c r="AA166" s="230"/>
      <c r="AB166" s="230"/>
      <c r="AC166" s="230"/>
      <c r="AD166" s="230"/>
    </row>
    <row r="167" spans="1:30">
      <c r="A167" s="230"/>
      <c r="B167" s="230"/>
      <c r="C167" s="230"/>
      <c r="D167" s="230"/>
      <c r="E167" s="230"/>
      <c r="F167" s="230"/>
      <c r="G167" s="230"/>
      <c r="H167" s="230"/>
      <c r="I167" s="230"/>
      <c r="J167" s="230"/>
      <c r="K167" s="230"/>
      <c r="L167" s="230"/>
      <c r="M167" s="230"/>
      <c r="N167" s="230"/>
      <c r="O167" s="230"/>
      <c r="P167" s="230"/>
      <c r="Q167" s="230"/>
      <c r="R167" s="230"/>
      <c r="S167" s="230"/>
      <c r="T167" s="230"/>
      <c r="U167" s="230"/>
      <c r="V167" s="230"/>
      <c r="W167" s="230"/>
      <c r="X167" s="230"/>
      <c r="Y167" s="230"/>
      <c r="Z167" s="230"/>
      <c r="AA167" s="230"/>
      <c r="AB167" s="230"/>
      <c r="AC167" s="230"/>
      <c r="AD167" s="230"/>
    </row>
    <row r="168" spans="1:30">
      <c r="A168" s="230"/>
      <c r="B168" s="230"/>
      <c r="C168" s="230"/>
      <c r="D168" s="230"/>
      <c r="E168" s="230"/>
      <c r="F168" s="230"/>
      <c r="G168" s="230"/>
      <c r="H168" s="230"/>
      <c r="I168" s="230"/>
      <c r="J168" s="230"/>
      <c r="K168" s="230"/>
      <c r="L168" s="230"/>
      <c r="M168" s="230"/>
      <c r="N168" s="230"/>
      <c r="O168" s="230"/>
      <c r="P168" s="230"/>
      <c r="Q168" s="230"/>
      <c r="R168" s="230"/>
      <c r="S168" s="230"/>
      <c r="T168" s="230"/>
      <c r="U168" s="230"/>
      <c r="V168" s="230"/>
      <c r="W168" s="230"/>
      <c r="X168" s="230"/>
      <c r="Y168" s="230"/>
      <c r="Z168" s="230"/>
      <c r="AA168" s="230"/>
      <c r="AB168" s="230"/>
      <c r="AC168" s="230"/>
      <c r="AD168" s="230"/>
    </row>
    <row r="169" spans="1:30">
      <c r="A169" s="230"/>
      <c r="B169" s="230"/>
      <c r="C169" s="230"/>
      <c r="D169" s="230"/>
      <c r="E169" s="230"/>
      <c r="F169" s="230"/>
      <c r="G169" s="230"/>
      <c r="H169" s="230"/>
      <c r="I169" s="230"/>
      <c r="J169" s="230"/>
      <c r="K169" s="230"/>
      <c r="L169" s="230"/>
      <c r="M169" s="230"/>
      <c r="N169" s="230"/>
      <c r="O169" s="230"/>
      <c r="P169" s="230"/>
      <c r="Q169" s="230"/>
      <c r="R169" s="230"/>
      <c r="S169" s="230"/>
      <c r="T169" s="230"/>
      <c r="U169" s="230"/>
      <c r="V169" s="230"/>
      <c r="W169" s="230"/>
      <c r="X169" s="230"/>
      <c r="Y169" s="230"/>
      <c r="Z169" s="230"/>
      <c r="AA169" s="230"/>
      <c r="AB169" s="230"/>
      <c r="AC169" s="230"/>
      <c r="AD169" s="230"/>
    </row>
    <row r="170" spans="1:30">
      <c r="A170" s="230"/>
      <c r="B170" s="230"/>
      <c r="C170" s="230"/>
      <c r="D170" s="230"/>
      <c r="E170" s="230"/>
      <c r="F170" s="230"/>
      <c r="G170" s="230"/>
      <c r="H170" s="230"/>
      <c r="I170" s="230"/>
      <c r="J170" s="230"/>
      <c r="K170" s="230"/>
      <c r="L170" s="230"/>
      <c r="M170" s="230"/>
      <c r="N170" s="230"/>
      <c r="O170" s="230"/>
      <c r="P170" s="230"/>
      <c r="Q170" s="230"/>
      <c r="R170" s="230"/>
      <c r="S170" s="230"/>
      <c r="T170" s="230"/>
      <c r="U170" s="230"/>
      <c r="V170" s="230"/>
      <c r="W170" s="230"/>
      <c r="X170" s="230"/>
      <c r="Y170" s="230"/>
      <c r="Z170" s="230"/>
      <c r="AA170" s="230"/>
      <c r="AB170" s="230"/>
      <c r="AC170" s="230"/>
      <c r="AD170" s="230"/>
    </row>
    <row r="171" spans="1:30">
      <c r="A171" s="230"/>
      <c r="B171" s="230"/>
      <c r="C171" s="230"/>
      <c r="D171" s="230"/>
      <c r="E171" s="230"/>
      <c r="F171" s="230"/>
      <c r="G171" s="230"/>
      <c r="H171" s="230"/>
      <c r="I171" s="230"/>
      <c r="J171" s="230"/>
      <c r="K171" s="230"/>
      <c r="L171" s="230"/>
      <c r="M171" s="230"/>
      <c r="N171" s="230"/>
      <c r="O171" s="230"/>
      <c r="P171" s="230"/>
      <c r="Q171" s="230"/>
      <c r="R171" s="230"/>
      <c r="S171" s="230"/>
      <c r="T171" s="230"/>
      <c r="U171" s="230"/>
      <c r="V171" s="230"/>
      <c r="W171" s="230"/>
      <c r="X171" s="230"/>
      <c r="Y171" s="230"/>
      <c r="Z171" s="230"/>
      <c r="AA171" s="230"/>
      <c r="AB171" s="230"/>
      <c r="AC171" s="230"/>
      <c r="AD171" s="230"/>
    </row>
    <row r="172" spans="1:30">
      <c r="A172" s="230"/>
      <c r="B172" s="230"/>
      <c r="C172" s="230"/>
      <c r="D172" s="230"/>
      <c r="E172" s="230"/>
      <c r="F172" s="230"/>
      <c r="G172" s="230"/>
      <c r="H172" s="230"/>
      <c r="I172" s="230"/>
      <c r="J172" s="230"/>
      <c r="K172" s="230"/>
      <c r="L172" s="230"/>
      <c r="M172" s="230"/>
      <c r="N172" s="230"/>
      <c r="O172" s="230"/>
      <c r="P172" s="230"/>
      <c r="Q172" s="230"/>
      <c r="R172" s="230"/>
      <c r="S172" s="230"/>
      <c r="T172" s="230"/>
      <c r="U172" s="230"/>
      <c r="V172" s="230"/>
      <c r="W172" s="230"/>
      <c r="X172" s="230"/>
      <c r="Y172" s="230"/>
      <c r="Z172" s="230"/>
      <c r="AA172" s="230"/>
      <c r="AB172" s="230"/>
      <c r="AC172" s="230"/>
      <c r="AD172" s="230"/>
    </row>
    <row r="173" spans="1:30">
      <c r="A173" s="230"/>
      <c r="B173" s="230"/>
      <c r="C173" s="230"/>
      <c r="D173" s="230"/>
      <c r="E173" s="230"/>
      <c r="F173" s="230"/>
      <c r="G173" s="230"/>
      <c r="H173" s="230"/>
      <c r="I173" s="230"/>
      <c r="J173" s="230"/>
      <c r="K173" s="230"/>
      <c r="L173" s="230"/>
      <c r="M173" s="230"/>
      <c r="N173" s="230"/>
      <c r="O173" s="230"/>
      <c r="P173" s="230"/>
      <c r="Q173" s="230"/>
      <c r="R173" s="230"/>
      <c r="S173" s="230"/>
      <c r="T173" s="230"/>
      <c r="U173" s="230"/>
      <c r="V173" s="230"/>
      <c r="W173" s="230"/>
      <c r="X173" s="230"/>
      <c r="Y173" s="230"/>
      <c r="Z173" s="230"/>
      <c r="AA173" s="230"/>
      <c r="AB173" s="230"/>
      <c r="AC173" s="230"/>
      <c r="AD173" s="230"/>
    </row>
    <row r="174" spans="1:30">
      <c r="A174" s="230"/>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row>
    <row r="175" spans="1:30">
      <c r="A175" s="230"/>
      <c r="B175" s="230"/>
      <c r="C175" s="230"/>
      <c r="D175" s="230"/>
      <c r="E175" s="230"/>
      <c r="F175" s="230"/>
      <c r="G175" s="230"/>
      <c r="H175" s="230"/>
      <c r="I175" s="230"/>
      <c r="J175" s="230"/>
      <c r="K175" s="230"/>
      <c r="L175" s="230"/>
      <c r="M175" s="230"/>
      <c r="N175" s="230"/>
      <c r="O175" s="230"/>
      <c r="P175" s="230"/>
      <c r="Q175" s="230"/>
      <c r="R175" s="230"/>
      <c r="S175" s="230"/>
      <c r="T175" s="230"/>
      <c r="U175" s="230"/>
      <c r="V175" s="230"/>
      <c r="W175" s="230"/>
      <c r="X175" s="230"/>
      <c r="Y175" s="230"/>
      <c r="Z175" s="230"/>
      <c r="AA175" s="230"/>
      <c r="AB175" s="230"/>
      <c r="AC175" s="230"/>
      <c r="AD175" s="230"/>
    </row>
    <row r="176" spans="1:30">
      <c r="A176" s="230"/>
      <c r="B176" s="230"/>
      <c r="C176" s="230"/>
      <c r="D176" s="230"/>
      <c r="E176" s="230"/>
      <c r="F176" s="230"/>
      <c r="G176" s="230"/>
      <c r="H176" s="230"/>
      <c r="I176" s="230"/>
      <c r="J176" s="230"/>
      <c r="K176" s="230"/>
      <c r="L176" s="230"/>
      <c r="M176" s="230"/>
      <c r="N176" s="230"/>
      <c r="O176" s="230"/>
      <c r="P176" s="230"/>
      <c r="Q176" s="230"/>
      <c r="R176" s="230"/>
      <c r="S176" s="230"/>
      <c r="T176" s="230"/>
      <c r="U176" s="230"/>
      <c r="V176" s="230"/>
      <c r="W176" s="230"/>
      <c r="X176" s="230"/>
      <c r="Y176" s="230"/>
      <c r="Z176" s="230"/>
      <c r="AA176" s="230"/>
      <c r="AB176" s="230"/>
      <c r="AC176" s="230"/>
      <c r="AD176" s="230"/>
    </row>
    <row r="177" spans="1:30">
      <c r="A177" s="230"/>
      <c r="B177" s="230"/>
      <c r="C177" s="230"/>
      <c r="D177" s="230"/>
      <c r="E177" s="230"/>
      <c r="F177" s="230"/>
      <c r="G177" s="230"/>
      <c r="H177" s="230"/>
      <c r="I177" s="230"/>
      <c r="J177" s="230"/>
      <c r="K177" s="230"/>
      <c r="L177" s="230"/>
      <c r="M177" s="230"/>
      <c r="N177" s="230"/>
      <c r="O177" s="230"/>
      <c r="P177" s="230"/>
      <c r="Q177" s="230"/>
      <c r="R177" s="230"/>
      <c r="S177" s="230"/>
      <c r="T177" s="230"/>
      <c r="U177" s="230"/>
      <c r="V177" s="230"/>
      <c r="W177" s="230"/>
      <c r="X177" s="230"/>
      <c r="Y177" s="230"/>
      <c r="Z177" s="230"/>
      <c r="AA177" s="230"/>
      <c r="AB177" s="230"/>
      <c r="AC177" s="230"/>
      <c r="AD177" s="230"/>
    </row>
    <row r="178" spans="1:30">
      <c r="A178" s="230"/>
      <c r="B178" s="230"/>
      <c r="C178" s="230"/>
      <c r="D178" s="230"/>
      <c r="E178" s="230"/>
      <c r="F178" s="230"/>
      <c r="G178" s="230"/>
      <c r="H178" s="230"/>
      <c r="I178" s="230"/>
      <c r="J178" s="230"/>
      <c r="K178" s="230"/>
      <c r="L178" s="230"/>
      <c r="M178" s="230"/>
      <c r="N178" s="230"/>
      <c r="O178" s="230"/>
      <c r="P178" s="230"/>
      <c r="Q178" s="230"/>
      <c r="R178" s="230"/>
      <c r="S178" s="230"/>
      <c r="T178" s="230"/>
      <c r="U178" s="230"/>
      <c r="V178" s="230"/>
      <c r="W178" s="230"/>
      <c r="X178" s="230"/>
      <c r="Y178" s="230"/>
      <c r="Z178" s="230"/>
      <c r="AA178" s="230"/>
      <c r="AB178" s="230"/>
      <c r="AC178" s="230"/>
      <c r="AD178" s="230"/>
    </row>
    <row r="179" spans="1:30">
      <c r="A179" s="230"/>
      <c r="B179" s="230"/>
      <c r="C179" s="230"/>
      <c r="D179" s="230"/>
      <c r="E179" s="230"/>
      <c r="F179" s="230"/>
      <c r="G179" s="230"/>
      <c r="H179" s="230"/>
      <c r="I179" s="230"/>
      <c r="J179" s="230"/>
      <c r="K179" s="230"/>
      <c r="L179" s="230"/>
      <c r="M179" s="230"/>
      <c r="N179" s="230"/>
      <c r="O179" s="230"/>
      <c r="P179" s="230"/>
      <c r="Q179" s="230"/>
      <c r="R179" s="230"/>
      <c r="S179" s="230"/>
      <c r="T179" s="230"/>
      <c r="U179" s="230"/>
      <c r="V179" s="230"/>
      <c r="W179" s="230"/>
      <c r="X179" s="230"/>
      <c r="Y179" s="230"/>
      <c r="Z179" s="230"/>
      <c r="AA179" s="230"/>
      <c r="AB179" s="230"/>
      <c r="AC179" s="230"/>
      <c r="AD179" s="230"/>
    </row>
    <row r="180" spans="1:30">
      <c r="A180" s="230"/>
      <c r="B180" s="230"/>
      <c r="C180" s="230"/>
      <c r="D180" s="230"/>
      <c r="E180" s="230"/>
      <c r="F180" s="230"/>
      <c r="G180" s="230"/>
      <c r="H180" s="230"/>
      <c r="I180" s="230"/>
      <c r="J180" s="230"/>
      <c r="K180" s="230"/>
      <c r="L180" s="230"/>
      <c r="M180" s="230"/>
      <c r="N180" s="230"/>
      <c r="O180" s="230"/>
      <c r="P180" s="230"/>
      <c r="Q180" s="230"/>
      <c r="R180" s="230"/>
      <c r="S180" s="230"/>
      <c r="T180" s="230"/>
      <c r="U180" s="230"/>
      <c r="V180" s="230"/>
      <c r="W180" s="230"/>
      <c r="X180" s="230"/>
      <c r="Y180" s="230"/>
      <c r="Z180" s="230"/>
      <c r="AA180" s="230"/>
      <c r="AB180" s="230"/>
      <c r="AC180" s="230"/>
      <c r="AD180" s="230"/>
    </row>
    <row r="181" spans="1:30">
      <c r="A181" s="230"/>
      <c r="B181" s="230"/>
      <c r="C181" s="230"/>
      <c r="D181" s="230"/>
      <c r="E181" s="230"/>
      <c r="F181" s="230"/>
      <c r="G181" s="230"/>
      <c r="H181" s="230"/>
      <c r="I181" s="230"/>
      <c r="J181" s="230"/>
      <c r="K181" s="230"/>
      <c r="L181" s="230"/>
      <c r="M181" s="230"/>
      <c r="N181" s="230"/>
      <c r="O181" s="230"/>
      <c r="P181" s="230"/>
      <c r="Q181" s="230"/>
      <c r="R181" s="230"/>
      <c r="S181" s="230"/>
      <c r="T181" s="230"/>
      <c r="U181" s="230"/>
      <c r="V181" s="230"/>
      <c r="W181" s="230"/>
      <c r="X181" s="230"/>
      <c r="Y181" s="230"/>
      <c r="Z181" s="230"/>
      <c r="AA181" s="230"/>
      <c r="AB181" s="230"/>
      <c r="AC181" s="230"/>
      <c r="AD181" s="230"/>
    </row>
    <row r="182" spans="1:30">
      <c r="A182" s="230"/>
      <c r="B182" s="230"/>
      <c r="C182" s="230"/>
      <c r="D182" s="230"/>
      <c r="E182" s="230"/>
      <c r="F182" s="230"/>
      <c r="G182" s="230"/>
      <c r="H182" s="230"/>
      <c r="I182" s="230"/>
      <c r="J182" s="230"/>
      <c r="K182" s="230"/>
      <c r="L182" s="230"/>
      <c r="M182" s="230"/>
      <c r="N182" s="230"/>
      <c r="O182" s="230"/>
      <c r="P182" s="230"/>
      <c r="Q182" s="230"/>
      <c r="R182" s="230"/>
      <c r="S182" s="230"/>
      <c r="T182" s="230"/>
      <c r="U182" s="230"/>
      <c r="V182" s="230"/>
      <c r="W182" s="230"/>
      <c r="X182" s="230"/>
      <c r="Y182" s="230"/>
      <c r="Z182" s="230"/>
      <c r="AA182" s="230"/>
      <c r="AB182" s="230"/>
      <c r="AC182" s="230"/>
      <c r="AD182" s="230"/>
    </row>
    <row r="183" spans="1:30">
      <c r="A183" s="230"/>
      <c r="B183" s="230"/>
      <c r="C183" s="230"/>
      <c r="D183" s="230"/>
      <c r="E183" s="230"/>
      <c r="F183" s="230"/>
      <c r="G183" s="230"/>
      <c r="H183" s="230"/>
      <c r="I183" s="230"/>
      <c r="J183" s="230"/>
      <c r="K183" s="230"/>
      <c r="L183" s="230"/>
      <c r="M183" s="230"/>
      <c r="N183" s="230"/>
      <c r="O183" s="230"/>
      <c r="P183" s="230"/>
      <c r="Q183" s="230"/>
      <c r="R183" s="230"/>
      <c r="S183" s="230"/>
      <c r="T183" s="230"/>
      <c r="U183" s="230"/>
      <c r="V183" s="230"/>
      <c r="W183" s="230"/>
      <c r="X183" s="230"/>
      <c r="Y183" s="230"/>
      <c r="Z183" s="230"/>
      <c r="AA183" s="230"/>
      <c r="AB183" s="230"/>
      <c r="AC183" s="230"/>
      <c r="AD183" s="230"/>
    </row>
    <row r="184" spans="1:30">
      <c r="A184" s="230"/>
      <c r="B184" s="230"/>
      <c r="C184" s="230"/>
      <c r="D184" s="230"/>
      <c r="E184" s="230"/>
      <c r="F184" s="230"/>
      <c r="G184" s="230"/>
      <c r="H184" s="230"/>
      <c r="I184" s="230"/>
      <c r="J184" s="230"/>
      <c r="K184" s="230"/>
      <c r="L184" s="230"/>
      <c r="M184" s="230"/>
      <c r="N184" s="230"/>
      <c r="O184" s="230"/>
      <c r="P184" s="230"/>
      <c r="Q184" s="230"/>
      <c r="R184" s="230"/>
      <c r="S184" s="230"/>
      <c r="T184" s="230"/>
      <c r="U184" s="230"/>
      <c r="V184" s="230"/>
      <c r="W184" s="230"/>
      <c r="X184" s="230"/>
      <c r="Y184" s="230"/>
      <c r="Z184" s="230"/>
      <c r="AA184" s="230"/>
      <c r="AB184" s="230"/>
      <c r="AC184" s="230"/>
      <c r="AD184" s="230"/>
    </row>
    <row r="185" spans="1:30">
      <c r="A185" s="230"/>
      <c r="B185" s="230"/>
      <c r="C185" s="230"/>
      <c r="D185" s="230"/>
      <c r="E185" s="230"/>
      <c r="F185" s="230"/>
      <c r="G185" s="230"/>
      <c r="H185" s="230"/>
      <c r="I185" s="230"/>
      <c r="J185" s="230"/>
      <c r="K185" s="230"/>
      <c r="L185" s="230"/>
      <c r="M185" s="230"/>
      <c r="N185" s="230"/>
      <c r="O185" s="230"/>
      <c r="P185" s="230"/>
      <c r="Q185" s="230"/>
      <c r="R185" s="230"/>
      <c r="S185" s="230"/>
      <c r="T185" s="230"/>
      <c r="U185" s="230"/>
      <c r="V185" s="230"/>
      <c r="W185" s="230"/>
      <c r="X185" s="230"/>
      <c r="Y185" s="230"/>
      <c r="Z185" s="230"/>
      <c r="AA185" s="230"/>
      <c r="AB185" s="230"/>
      <c r="AC185" s="230"/>
      <c r="AD185" s="230"/>
    </row>
    <row r="186" spans="1:30">
      <c r="A186" s="230"/>
      <c r="B186" s="230"/>
      <c r="C186" s="230"/>
      <c r="D186" s="230"/>
      <c r="E186" s="230"/>
      <c r="F186" s="230"/>
      <c r="G186" s="230"/>
      <c r="H186" s="230"/>
      <c r="I186" s="230"/>
      <c r="J186" s="230"/>
      <c r="K186" s="230"/>
      <c r="L186" s="230"/>
      <c r="M186" s="230"/>
      <c r="N186" s="230"/>
      <c r="O186" s="230"/>
      <c r="P186" s="230"/>
      <c r="Q186" s="230"/>
      <c r="R186" s="230"/>
      <c r="S186" s="230"/>
      <c r="T186" s="230"/>
      <c r="U186" s="230"/>
      <c r="V186" s="230"/>
      <c r="W186" s="230"/>
      <c r="X186" s="230"/>
      <c r="Y186" s="230"/>
      <c r="Z186" s="230"/>
      <c r="AA186" s="230"/>
      <c r="AB186" s="230"/>
      <c r="AC186" s="230"/>
      <c r="AD186" s="230"/>
    </row>
    <row r="187" spans="1:30">
      <c r="A187" s="230"/>
      <c r="B187" s="230"/>
      <c r="C187" s="230"/>
      <c r="D187" s="230"/>
      <c r="E187" s="230"/>
      <c r="F187" s="230"/>
      <c r="G187" s="230"/>
      <c r="H187" s="230"/>
      <c r="I187" s="230"/>
      <c r="J187" s="230"/>
      <c r="K187" s="230"/>
      <c r="L187" s="230"/>
      <c r="M187" s="230"/>
      <c r="N187" s="230"/>
      <c r="O187" s="230"/>
      <c r="P187" s="230"/>
      <c r="Q187" s="230"/>
      <c r="R187" s="230"/>
      <c r="S187" s="230"/>
      <c r="T187" s="230"/>
      <c r="U187" s="230"/>
      <c r="V187" s="230"/>
      <c r="W187" s="230"/>
      <c r="X187" s="230"/>
      <c r="Y187" s="230"/>
      <c r="Z187" s="230"/>
      <c r="AA187" s="230"/>
      <c r="AB187" s="230"/>
      <c r="AC187" s="230"/>
      <c r="AD187" s="230"/>
    </row>
    <row r="188" spans="1:30">
      <c r="A188" s="230"/>
      <c r="B188" s="230"/>
      <c r="C188" s="230"/>
      <c r="D188" s="230"/>
      <c r="E188" s="230"/>
      <c r="F188" s="230"/>
      <c r="G188" s="230"/>
      <c r="H188" s="230"/>
      <c r="I188" s="230"/>
      <c r="J188" s="230"/>
      <c r="K188" s="230"/>
      <c r="L188" s="230"/>
      <c r="M188" s="230"/>
      <c r="N188" s="230"/>
      <c r="O188" s="230"/>
      <c r="P188" s="230"/>
      <c r="Q188" s="230"/>
      <c r="R188" s="230"/>
      <c r="S188" s="230"/>
      <c r="T188" s="230"/>
      <c r="U188" s="230"/>
      <c r="V188" s="230"/>
      <c r="W188" s="230"/>
      <c r="X188" s="230"/>
      <c r="Y188" s="230"/>
      <c r="Z188" s="230"/>
      <c r="AA188" s="230"/>
      <c r="AB188" s="230"/>
      <c r="AC188" s="230"/>
      <c r="AD188" s="230"/>
    </row>
    <row r="189" spans="1:30">
      <c r="A189" s="230"/>
      <c r="B189" s="230"/>
      <c r="C189" s="230"/>
      <c r="D189" s="230"/>
      <c r="E189" s="230"/>
      <c r="F189" s="230"/>
      <c r="G189" s="230"/>
      <c r="H189" s="230"/>
      <c r="I189" s="230"/>
      <c r="J189" s="230"/>
      <c r="K189" s="230"/>
      <c r="L189" s="230"/>
      <c r="M189" s="230"/>
      <c r="N189" s="230"/>
      <c r="O189" s="230"/>
      <c r="P189" s="230"/>
      <c r="Q189" s="230"/>
      <c r="R189" s="230"/>
      <c r="S189" s="230"/>
      <c r="T189" s="230"/>
      <c r="U189" s="230"/>
      <c r="V189" s="230"/>
      <c r="W189" s="230"/>
      <c r="X189" s="230"/>
      <c r="Y189" s="230"/>
      <c r="Z189" s="230"/>
      <c r="AA189" s="230"/>
      <c r="AB189" s="230"/>
      <c r="AC189" s="230"/>
      <c r="AD189" s="230"/>
    </row>
    <row r="190" spans="1:30">
      <c r="A190" s="230"/>
      <c r="B190" s="230"/>
      <c r="C190" s="230"/>
      <c r="D190" s="230"/>
      <c r="E190" s="230"/>
      <c r="F190" s="230"/>
      <c r="G190" s="230"/>
      <c r="H190" s="230"/>
      <c r="I190" s="230"/>
      <c r="J190" s="230"/>
      <c r="K190" s="230"/>
      <c r="L190" s="230"/>
      <c r="M190" s="230"/>
      <c r="N190" s="230"/>
      <c r="O190" s="230"/>
      <c r="P190" s="230"/>
      <c r="Q190" s="230"/>
      <c r="R190" s="230"/>
      <c r="S190" s="230"/>
      <c r="T190" s="230"/>
      <c r="U190" s="230"/>
      <c r="V190" s="230"/>
      <c r="W190" s="230"/>
      <c r="X190" s="230"/>
      <c r="Y190" s="230"/>
      <c r="Z190" s="230"/>
      <c r="AA190" s="230"/>
      <c r="AB190" s="230"/>
      <c r="AC190" s="230"/>
      <c r="AD190" s="230"/>
    </row>
    <row r="191" spans="1:30">
      <c r="A191" s="230"/>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row>
    <row r="192" spans="1:30">
      <c r="A192" s="230"/>
      <c r="B192" s="230"/>
      <c r="C192" s="230"/>
      <c r="D192" s="230"/>
      <c r="E192" s="230"/>
      <c r="F192" s="230"/>
      <c r="G192" s="230"/>
      <c r="H192" s="230"/>
      <c r="I192" s="230"/>
      <c r="J192" s="230"/>
      <c r="K192" s="230"/>
      <c r="L192" s="230"/>
      <c r="M192" s="230"/>
      <c r="N192" s="230"/>
      <c r="O192" s="230"/>
      <c r="P192" s="230"/>
      <c r="Q192" s="230"/>
      <c r="R192" s="230"/>
      <c r="S192" s="230"/>
      <c r="T192" s="230"/>
      <c r="U192" s="230"/>
      <c r="V192" s="230"/>
      <c r="W192" s="230"/>
      <c r="X192" s="230"/>
      <c r="Y192" s="230"/>
      <c r="Z192" s="230"/>
      <c r="AA192" s="230"/>
      <c r="AB192" s="230"/>
      <c r="AC192" s="230"/>
      <c r="AD192" s="230"/>
    </row>
    <row r="193" spans="1:30">
      <c r="A193" s="230"/>
      <c r="B193" s="230"/>
      <c r="C193" s="230"/>
      <c r="D193" s="230"/>
      <c r="E193" s="230"/>
      <c r="F193" s="230"/>
      <c r="G193" s="230"/>
      <c r="H193" s="230"/>
      <c r="I193" s="230"/>
      <c r="J193" s="230"/>
      <c r="K193" s="230"/>
      <c r="L193" s="230"/>
      <c r="M193" s="230"/>
      <c r="N193" s="230"/>
      <c r="O193" s="230"/>
      <c r="P193" s="230"/>
      <c r="Q193" s="230"/>
      <c r="R193" s="230"/>
      <c r="S193" s="230"/>
      <c r="T193" s="230"/>
      <c r="U193" s="230"/>
      <c r="V193" s="230"/>
      <c r="W193" s="230"/>
      <c r="X193" s="230"/>
      <c r="Y193" s="230"/>
      <c r="Z193" s="230"/>
      <c r="AA193" s="230"/>
      <c r="AB193" s="230"/>
      <c r="AC193" s="230"/>
      <c r="AD193" s="230"/>
    </row>
    <row r="194" spans="1:30">
      <c r="A194" s="230"/>
      <c r="B194" s="230"/>
      <c r="C194" s="230"/>
      <c r="D194" s="230"/>
      <c r="E194" s="230"/>
      <c r="F194" s="230"/>
      <c r="G194" s="230"/>
      <c r="H194" s="230"/>
      <c r="I194" s="230"/>
      <c r="J194" s="230"/>
      <c r="K194" s="230"/>
      <c r="L194" s="230"/>
      <c r="M194" s="230"/>
      <c r="N194" s="230"/>
      <c r="O194" s="230"/>
      <c r="P194" s="230"/>
      <c r="Q194" s="230"/>
      <c r="R194" s="230"/>
      <c r="S194" s="230"/>
      <c r="T194" s="230"/>
      <c r="U194" s="230"/>
      <c r="V194" s="230"/>
      <c r="W194" s="230"/>
      <c r="X194" s="230"/>
      <c r="Y194" s="230"/>
      <c r="Z194" s="230"/>
      <c r="AA194" s="230"/>
      <c r="AB194" s="230"/>
      <c r="AC194" s="230"/>
      <c r="AD194" s="230"/>
    </row>
    <row r="195" spans="1:30">
      <c r="A195" s="230"/>
      <c r="B195" s="230"/>
      <c r="C195" s="230"/>
      <c r="D195" s="230"/>
      <c r="E195" s="230"/>
      <c r="F195" s="230"/>
      <c r="G195" s="230"/>
      <c r="H195" s="230"/>
      <c r="I195" s="230"/>
      <c r="J195" s="230"/>
      <c r="K195" s="230"/>
      <c r="L195" s="230"/>
      <c r="M195" s="230"/>
      <c r="N195" s="230"/>
      <c r="O195" s="230"/>
      <c r="P195" s="230"/>
      <c r="Q195" s="230"/>
      <c r="R195" s="230"/>
      <c r="S195" s="230"/>
      <c r="T195" s="230"/>
      <c r="U195" s="230"/>
      <c r="V195" s="230"/>
      <c r="W195" s="230"/>
      <c r="X195" s="230"/>
      <c r="Y195" s="230"/>
      <c r="Z195" s="230"/>
      <c r="AA195" s="230"/>
      <c r="AB195" s="230"/>
      <c r="AC195" s="230"/>
      <c r="AD195" s="230"/>
    </row>
    <row r="196" spans="1:30">
      <c r="A196" s="230"/>
      <c r="B196" s="230"/>
      <c r="C196" s="230"/>
      <c r="D196" s="230"/>
      <c r="E196" s="230"/>
      <c r="F196" s="230"/>
      <c r="G196" s="230"/>
      <c r="H196" s="230"/>
      <c r="I196" s="230"/>
      <c r="J196" s="230"/>
      <c r="K196" s="230"/>
      <c r="L196" s="230"/>
      <c r="M196" s="230"/>
      <c r="N196" s="230"/>
      <c r="O196" s="230"/>
      <c r="P196" s="230"/>
      <c r="Q196" s="230"/>
      <c r="R196" s="230"/>
      <c r="S196" s="230"/>
      <c r="T196" s="230"/>
      <c r="U196" s="230"/>
      <c r="V196" s="230"/>
      <c r="W196" s="230"/>
      <c r="X196" s="230"/>
      <c r="Y196" s="230"/>
      <c r="Z196" s="230"/>
      <c r="AA196" s="230"/>
      <c r="AB196" s="230"/>
      <c r="AC196" s="230"/>
      <c r="AD196" s="230"/>
    </row>
    <row r="197" spans="1:30">
      <c r="A197" s="230"/>
      <c r="B197" s="230"/>
      <c r="C197" s="230"/>
      <c r="D197" s="230"/>
      <c r="E197" s="230"/>
      <c r="F197" s="230"/>
      <c r="G197" s="230"/>
      <c r="H197" s="230"/>
      <c r="I197" s="230"/>
      <c r="J197" s="230"/>
      <c r="K197" s="230"/>
      <c r="L197" s="230"/>
      <c r="M197" s="230"/>
      <c r="N197" s="230"/>
      <c r="O197" s="230"/>
      <c r="P197" s="230"/>
      <c r="Q197" s="230"/>
      <c r="R197" s="230"/>
      <c r="S197" s="230"/>
      <c r="T197" s="230"/>
      <c r="U197" s="230"/>
      <c r="V197" s="230"/>
      <c r="W197" s="230"/>
      <c r="X197" s="230"/>
      <c r="Y197" s="230"/>
      <c r="Z197" s="230"/>
      <c r="AA197" s="230"/>
      <c r="AB197" s="230"/>
      <c r="AC197" s="230"/>
      <c r="AD197" s="230"/>
    </row>
    <row r="198" spans="1:30">
      <c r="A198" s="230"/>
      <c r="B198" s="230"/>
      <c r="C198" s="230"/>
      <c r="D198" s="230"/>
      <c r="E198" s="230"/>
      <c r="F198" s="230"/>
      <c r="G198" s="230"/>
      <c r="H198" s="230"/>
      <c r="I198" s="230"/>
      <c r="J198" s="230"/>
      <c r="K198" s="230"/>
      <c r="L198" s="230"/>
      <c r="M198" s="230"/>
      <c r="N198" s="230"/>
      <c r="O198" s="230"/>
      <c r="P198" s="230"/>
      <c r="Q198" s="230"/>
      <c r="R198" s="230"/>
      <c r="S198" s="230"/>
      <c r="T198" s="230"/>
      <c r="U198" s="230"/>
      <c r="V198" s="230"/>
      <c r="W198" s="230"/>
      <c r="X198" s="230"/>
      <c r="Y198" s="230"/>
      <c r="Z198" s="230"/>
      <c r="AA198" s="230"/>
      <c r="AB198" s="230"/>
      <c r="AC198" s="230"/>
      <c r="AD198" s="230"/>
    </row>
    <row r="199" spans="1:30">
      <c r="A199" s="230"/>
      <c r="B199" s="230"/>
      <c r="C199" s="230"/>
      <c r="D199" s="230"/>
      <c r="E199" s="230"/>
      <c r="F199" s="230"/>
      <c r="G199" s="230"/>
      <c r="H199" s="230"/>
      <c r="I199" s="230"/>
      <c r="J199" s="230"/>
      <c r="K199" s="230"/>
      <c r="L199" s="230"/>
      <c r="M199" s="230"/>
      <c r="N199" s="230"/>
      <c r="O199" s="230"/>
      <c r="P199" s="230"/>
      <c r="Q199" s="230"/>
      <c r="R199" s="230"/>
      <c r="S199" s="230"/>
      <c r="T199" s="230"/>
      <c r="U199" s="230"/>
      <c r="V199" s="230"/>
      <c r="W199" s="230"/>
      <c r="X199" s="230"/>
      <c r="Y199" s="230"/>
      <c r="Z199" s="230"/>
      <c r="AA199" s="230"/>
      <c r="AB199" s="230"/>
      <c r="AC199" s="230"/>
      <c r="AD199" s="230"/>
    </row>
  </sheetData>
  <mergeCells count="1">
    <mergeCell ref="A6:G6"/>
  </mergeCells>
  <phoneticPr fontId="12" type="noConversion"/>
  <pageMargins left="0.25" right="0.25" top="0.25" bottom="0.5" header="0.5" footer="0.25"/>
  <pageSetup scale="92" orientation="portrait" r:id="rId1"/>
  <headerFooter alignWithMargins="0">
    <oddFooter>&amp;L&amp;"Arial,Italic"&amp;9EPA Climate Leaders Simplified GHG Emissions Calculator (Direct 5.0)&amp;R&amp;"Arial,Italic"&amp;9&amp;P of &amp;N</oddFooter>
  </headerFooter>
  <colBreaks count="1" manualBreakCount="1">
    <brk id="8" max="1048575" man="1"/>
  </colBreaks>
  <ignoredErrors>
    <ignoredError sqref="C38" unlockedFormula="1"/>
  </ignoredErrors>
  <drawing r:id="rId2"/>
  <legacyDrawing r:id="rId3"/>
  <controls>
    <mc:AlternateContent xmlns:mc="http://schemas.openxmlformats.org/markup-compatibility/2006">
      <mc:Choice Requires="x14">
        <control shapeId="12351" r:id="rId4" name="CommandButton1">
          <controlPr autoLine="0" r:id="rId5">
            <anchor>
              <from>
                <xdr:col>0</xdr:col>
                <xdr:colOff>714375</xdr:colOff>
                <xdr:row>0</xdr:row>
                <xdr:rowOff>142875</xdr:rowOff>
              </from>
              <to>
                <xdr:col>1</xdr:col>
                <xdr:colOff>247650</xdr:colOff>
                <xdr:row>1</xdr:row>
                <xdr:rowOff>142875</xdr:rowOff>
              </to>
            </anchor>
          </controlPr>
        </control>
      </mc:Choice>
      <mc:Fallback>
        <control shapeId="12351" r:id="rId4" name="CommandButton1"/>
      </mc:Fallback>
    </mc:AlternateContent>
    <mc:AlternateContent xmlns:mc="http://schemas.openxmlformats.org/markup-compatibility/2006">
      <mc:Choice Requires="x14">
        <control shapeId="12352" r:id="rId6" name="CommandButton2">
          <controlPr autoLine="0" r:id="rId7">
            <anchor>
              <from>
                <xdr:col>1</xdr:col>
                <xdr:colOff>447675</xdr:colOff>
                <xdr:row>0</xdr:row>
                <xdr:rowOff>133350</xdr:rowOff>
              </from>
              <to>
                <xdr:col>2</xdr:col>
                <xdr:colOff>695325</xdr:colOff>
                <xdr:row>1</xdr:row>
                <xdr:rowOff>133350</xdr:rowOff>
              </to>
            </anchor>
          </controlPr>
        </control>
      </mc:Choice>
      <mc:Fallback>
        <control shapeId="12352" r:id="rId6" name="CommandButton2"/>
      </mc:Fallback>
    </mc:AlternateContent>
    <mc:AlternateContent xmlns:mc="http://schemas.openxmlformats.org/markup-compatibility/2006">
      <mc:Choice Requires="x14">
        <control shapeId="12536" r:id="rId8" name="CommandButton3">
          <controlPr autoLine="0" r:id="rId9">
            <anchor moveWithCells="1">
              <from>
                <xdr:col>4</xdr:col>
                <xdr:colOff>752475</xdr:colOff>
                <xdr:row>0</xdr:row>
                <xdr:rowOff>142875</xdr:rowOff>
              </from>
              <to>
                <xdr:col>5</xdr:col>
                <xdr:colOff>838200</xdr:colOff>
                <xdr:row>1</xdr:row>
                <xdr:rowOff>133350</xdr:rowOff>
              </to>
            </anchor>
          </controlPr>
        </control>
      </mc:Choice>
      <mc:Fallback>
        <control shapeId="12536" r:id="rId8" name="CommandButton3"/>
      </mc:Fallback>
    </mc:AlternateContent>
  </control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A9E3D1CE2282624B8F15B03AB8CB1A97" ma:contentTypeVersion="0" ma:contentTypeDescription="Create a new document." ma:contentTypeScope="" ma:versionID="e9f3d9d90928fbc992128048876e8476">
  <xsd:schema xmlns:xsd="http://www.w3.org/2001/XMLSchema" xmlns:xs="http://www.w3.org/2001/XMLSchema" xmlns:p="http://schemas.microsoft.com/office/2006/metadata/properties" xmlns:ns2="0d2b0e73-ac98-4954-9133-51e7e58caf47" targetNamespace="http://schemas.microsoft.com/office/2006/metadata/properties" ma:root="true" ma:fieldsID="fe1f3f24d8b3be3f26904ac3454010ca" ns2:_="">
    <xsd:import namespace="0d2b0e73-ac98-4954-9133-51e7e58caf47"/>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d2b0e73-ac98-4954-9133-51e7e58caf47"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0d2b0e73-ac98-4954-9133-51e7e58caf47">5P4DKNCRW2KX-173-2252</_dlc_DocId>
    <_dlc_DocIdUrl xmlns="0d2b0e73-ac98-4954-9133-51e7e58caf47">
      <Url>https://teams.cadmusgroup.com/sites/ESD/GHGSRT/_layouts/15/DocIdRedir.aspx?ID=5P4DKNCRW2KX-173-2252</Url>
      <Description>5P4DKNCRW2KX-173-2252</Description>
    </_dlc_DocIdUrl>
  </documentManagement>
</p:properties>
</file>

<file path=customXml/itemProps1.xml><?xml version="1.0" encoding="utf-8"?>
<ds:datastoreItem xmlns:ds="http://schemas.openxmlformats.org/officeDocument/2006/customXml" ds:itemID="{9C339BF7-E7F1-48A1-B574-E05CF079A5D5}">
  <ds:schemaRefs>
    <ds:schemaRef ds:uri="http://schemas.microsoft.com/sharepoint/v3/contenttype/forms"/>
  </ds:schemaRefs>
</ds:datastoreItem>
</file>

<file path=customXml/itemProps2.xml><?xml version="1.0" encoding="utf-8"?>
<ds:datastoreItem xmlns:ds="http://schemas.openxmlformats.org/officeDocument/2006/customXml" ds:itemID="{8E9F24C8-B219-42D5-902B-37D2BC2F4D50}">
  <ds:schemaRefs>
    <ds:schemaRef ds:uri="http://schemas.microsoft.com/sharepoint/events"/>
  </ds:schemaRefs>
</ds:datastoreItem>
</file>

<file path=customXml/itemProps3.xml><?xml version="1.0" encoding="utf-8"?>
<ds:datastoreItem xmlns:ds="http://schemas.openxmlformats.org/officeDocument/2006/customXml" ds:itemID="{D2B608B7-3819-49EB-8649-5F5C5CFBE86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d2b0e73-ac98-4954-9133-51e7e58caf4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03FFF608-082B-4A7C-B214-6D5230364EFF}">
  <ds:schemaRefs>
    <ds:schemaRef ds:uri="http://schemas.microsoft.com/office/infopath/2007/PartnerControls"/>
    <ds:schemaRef ds:uri="http://purl.org/dc/elements/1.1/"/>
    <ds:schemaRef ds:uri="http://schemas.microsoft.com/office/2006/metadata/properties"/>
    <ds:schemaRef ds:uri="0d2b0e73-ac98-4954-9133-51e7e58caf47"/>
    <ds:schemaRef ds:uri="http://schemas.microsoft.com/office/2006/documentManagement/types"/>
    <ds:schemaRef ds:uri="http://schemas.openxmlformats.org/package/2006/metadata/core-properties"/>
    <ds:schemaRef ds:uri="http://purl.org/dc/dcmitype/"/>
    <ds:schemaRef ds:uri="http://www.w3.org/XML/1998/namespac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160</vt:i4>
      </vt:variant>
    </vt:vector>
  </HeadingPairs>
  <TitlesOfParts>
    <vt:vector size="195" baseType="lpstr">
      <vt:lpstr>Introduction</vt:lpstr>
      <vt:lpstr>Summary</vt:lpstr>
      <vt:lpstr>Boundary Questions</vt:lpstr>
      <vt:lpstr>Stationary Combustion</vt:lpstr>
      <vt:lpstr>Mobile Sources</vt:lpstr>
      <vt:lpstr>Refrigeration and AC</vt:lpstr>
      <vt:lpstr>Fire Suppression</vt:lpstr>
      <vt:lpstr>Purchased Gases</vt:lpstr>
      <vt:lpstr>Waste Gases</vt:lpstr>
      <vt:lpstr>Electricity</vt:lpstr>
      <vt:lpstr>Steam</vt:lpstr>
      <vt:lpstr>Business Travel</vt:lpstr>
      <vt:lpstr>Commuting</vt:lpstr>
      <vt:lpstr>Product Transport</vt:lpstr>
      <vt:lpstr>Waste</vt:lpstr>
      <vt:lpstr>Offsets</vt:lpstr>
      <vt:lpstr>Unit Conversions</vt:lpstr>
      <vt:lpstr>Heat Content</vt:lpstr>
      <vt:lpstr>Emission Factors</vt:lpstr>
      <vt:lpstr>DropDown</vt:lpstr>
      <vt:lpstr>Help - Data Management</vt:lpstr>
      <vt:lpstr>Help - Stationary Combustion</vt:lpstr>
      <vt:lpstr>Help - Mobile Sources</vt:lpstr>
      <vt:lpstr>Help - Refrigeration and AC</vt:lpstr>
      <vt:lpstr>Help - Fire Suppression</vt:lpstr>
      <vt:lpstr>Help - Purchased Gases</vt:lpstr>
      <vt:lpstr>Help - Waste Gases</vt:lpstr>
      <vt:lpstr>Help - Electricity</vt:lpstr>
      <vt:lpstr>Help - Market-Based Method</vt:lpstr>
      <vt:lpstr>Help - Steam</vt:lpstr>
      <vt:lpstr>Help - Business Travel</vt:lpstr>
      <vt:lpstr>Help - Commuting</vt:lpstr>
      <vt:lpstr>Help - Product Transport</vt:lpstr>
      <vt:lpstr>Help - Waste</vt:lpstr>
      <vt:lpstr>Help - Offsets</vt:lpstr>
      <vt:lpstr>Aluminum_Cans</vt:lpstr>
      <vt:lpstr>Aluminum_Ingot</vt:lpstr>
      <vt:lpstr>Asphalt_Concrete</vt:lpstr>
      <vt:lpstr>Asphalt_Shingles</vt:lpstr>
      <vt:lpstr>Beef</vt:lpstr>
      <vt:lpstr>Biodiesel_Heavy_Duty_CH4</vt:lpstr>
      <vt:lpstr>Biodiesel_Heavy_Duty_N2O</vt:lpstr>
      <vt:lpstr>Biodiesel_Lt_Duty_CH4</vt:lpstr>
      <vt:lpstr>Biodiesel_Lt_Duty_N2O</vt:lpstr>
      <vt:lpstr>Biz_Travel_Fctr</vt:lpstr>
      <vt:lpstr>BizTravel_Air</vt:lpstr>
      <vt:lpstr>BizTravel_PassMiles</vt:lpstr>
      <vt:lpstr>BizTravel_Vehicle</vt:lpstr>
      <vt:lpstr>Branches</vt:lpstr>
      <vt:lpstr>Bread</vt:lpstr>
      <vt:lpstr>C_AtomicMass</vt:lpstr>
      <vt:lpstr>Carpet</vt:lpstr>
      <vt:lpstr>CH4_GWP</vt:lpstr>
      <vt:lpstr>Clay_Bricks</vt:lpstr>
      <vt:lpstr>CNG_Buses_CH4</vt:lpstr>
      <vt:lpstr>CNG_Buses_N2O</vt:lpstr>
      <vt:lpstr>CNG_Heavy_Duty_CH4</vt:lpstr>
      <vt:lpstr>CNG_Heavy_Duty_N2O</vt:lpstr>
      <vt:lpstr>CNG_Lt_Duty_CH4</vt:lpstr>
      <vt:lpstr>CNG_Lt_Duty_N2O</vt:lpstr>
      <vt:lpstr>Concrete</vt:lpstr>
      <vt:lpstr>Copper_Wire</vt:lpstr>
      <vt:lpstr>Corrugated_Containers</vt:lpstr>
      <vt:lpstr>CRT_Displays</vt:lpstr>
      <vt:lpstr>Dairy_Products</vt:lpstr>
      <vt:lpstr>Data_Entry_Sheet</vt:lpstr>
      <vt:lpstr>Data_Entry_Sheet2</vt:lpstr>
      <vt:lpstr>Desktop_CPUs</vt:lpstr>
      <vt:lpstr>Diesel_Heavy_Trucks_CH4_N2O</vt:lpstr>
      <vt:lpstr>Diesel_Lt_Trucks_CH4_N2O</vt:lpstr>
      <vt:lpstr>Diesel_pass_CH4_N2O</vt:lpstr>
      <vt:lpstr>Diesel_Present_Heavy_Duty_CH4</vt:lpstr>
      <vt:lpstr>Diesel_Present_Heavy_Duty_N2O</vt:lpstr>
      <vt:lpstr>Diesel_Present_Lt_Duty_CH4</vt:lpstr>
      <vt:lpstr>Diesel_Present_Lt_Duty_N2O</vt:lpstr>
      <vt:lpstr>Dimensional_Lumber</vt:lpstr>
      <vt:lpstr>Drywall</vt:lpstr>
      <vt:lpstr>eGRID_em_Fctrs</vt:lpstr>
      <vt:lpstr>eGRID_Subregions</vt:lpstr>
      <vt:lpstr>Electronic_Peripherals</vt:lpstr>
      <vt:lpstr>Waste!Em_by_ProdTransType</vt:lpstr>
      <vt:lpstr>Em_by_ProdTransType</vt:lpstr>
      <vt:lpstr>Ethanol_Buses_CH4</vt:lpstr>
      <vt:lpstr>Ethanol_Buses_N2O</vt:lpstr>
      <vt:lpstr>Ethanol_Heavy_Duty_CH4</vt:lpstr>
      <vt:lpstr>Ethanol_Heavy_Duty_N2O</vt:lpstr>
      <vt:lpstr>Ethanol_Lt_Duty_CH4</vt:lpstr>
      <vt:lpstr>Ethanol_Lt_Duty_N2O</vt:lpstr>
      <vt:lpstr>Fiberglass_Insulation</vt:lpstr>
      <vt:lpstr>FireSupp_Equip</vt:lpstr>
      <vt:lpstr>FireSupp_Gas</vt:lpstr>
      <vt:lpstr>Fixed_FireLeakRate</vt:lpstr>
      <vt:lpstr>Flat_panel_Displays</vt:lpstr>
      <vt:lpstr>Fly_Ash</vt:lpstr>
      <vt:lpstr>Food_Waste</vt:lpstr>
      <vt:lpstr>Food_Waste_meat_only</vt:lpstr>
      <vt:lpstr>Food_Waste_non_meat</vt:lpstr>
      <vt:lpstr>'Help - Data Management'!FoodSales</vt:lpstr>
      <vt:lpstr>'Help - Data Management'!FoodService</vt:lpstr>
      <vt:lpstr>Fruits_and_Vegetables</vt:lpstr>
      <vt:lpstr>Fuel_Type</vt:lpstr>
      <vt:lpstr>Gas</vt:lpstr>
      <vt:lpstr>Gas_Heavy_Duty_CH4_N2O</vt:lpstr>
      <vt:lpstr>Gas_Lt_Duty_Trucks_CH4_N2O</vt:lpstr>
      <vt:lpstr>Gas_Motorcycle_CH4_N2O</vt:lpstr>
      <vt:lpstr>Gas_Pass_Car_CH4_N2O</vt:lpstr>
      <vt:lpstr>Gas_Present_Heavy_Duty_CH4</vt:lpstr>
      <vt:lpstr>Gas_Present_Heavy_Duty_N2O</vt:lpstr>
      <vt:lpstr>Gas_Present_Lt_Duty_CH4</vt:lpstr>
      <vt:lpstr>Gas_Present_Lt_Duty_N2O</vt:lpstr>
      <vt:lpstr>GHGs</vt:lpstr>
      <vt:lpstr>Glass</vt:lpstr>
      <vt:lpstr>Grains</vt:lpstr>
      <vt:lpstr>Grass</vt:lpstr>
      <vt:lpstr>GWP</vt:lpstr>
      <vt:lpstr>Hard_copy_Devices</vt:lpstr>
      <vt:lpstr>HDPE</vt:lpstr>
      <vt:lpstr>'Help - Data Management'!HealthIn</vt:lpstr>
      <vt:lpstr>'Help - Data Management'!HealthOut</vt:lpstr>
      <vt:lpstr>Help_Navigation</vt:lpstr>
      <vt:lpstr>Help_sheet</vt:lpstr>
      <vt:lpstr>kg_per_lb</vt:lpstr>
      <vt:lpstr>LDPE</vt:lpstr>
      <vt:lpstr>Leaves</vt:lpstr>
      <vt:lpstr>Liquid</vt:lpstr>
      <vt:lpstr>LLDPE</vt:lpstr>
      <vt:lpstr>LNG_Heavy_Duty_CH4</vt:lpstr>
      <vt:lpstr>LNG_Heavy_Duty_N2O</vt:lpstr>
      <vt:lpstr>'Help - Data Management'!Lodging</vt:lpstr>
      <vt:lpstr>LPG_Heavy_Duty_CH4</vt:lpstr>
      <vt:lpstr>LPG_Heavy_Duty_N2O</vt:lpstr>
      <vt:lpstr>LPG_Lt_Duty_CH4</vt:lpstr>
      <vt:lpstr>LPG_Lt_Duty_N2O</vt:lpstr>
      <vt:lpstr>Magazines_and_Third_class_mail</vt:lpstr>
      <vt:lpstr>Mass_Dropdown</vt:lpstr>
      <vt:lpstr>Medium_density_Fiberboard</vt:lpstr>
      <vt:lpstr>Mixed_Electronics</vt:lpstr>
      <vt:lpstr>Mixed_Metals</vt:lpstr>
      <vt:lpstr>Mixed_MSW_municipal_solid_waste</vt:lpstr>
      <vt:lpstr>Mixed_Organics</vt:lpstr>
      <vt:lpstr>Mixed_Paper_general</vt:lpstr>
      <vt:lpstr>Mixed_Paper_primarily_from_offices</vt:lpstr>
      <vt:lpstr>Mixed_Paper_primarily_residential</vt:lpstr>
      <vt:lpstr>Mixed_Plastics</vt:lpstr>
      <vt:lpstr>Mixed_Recyclables</vt:lpstr>
      <vt:lpstr>Mobile_Avgas_CO2fctr</vt:lpstr>
      <vt:lpstr>Mobile_Biodiesel_CO2fctr</vt:lpstr>
      <vt:lpstr>Mobile_CNG_CO2fctr</vt:lpstr>
      <vt:lpstr>Mobile_diesel_CO2fctr</vt:lpstr>
      <vt:lpstr>Mobile_Ethanol_CO2fctr</vt:lpstr>
      <vt:lpstr>Mobile_FuelOil_CO2fctr</vt:lpstr>
      <vt:lpstr>Mobile_gas_CO2fctr</vt:lpstr>
      <vt:lpstr>Mobile_Jet_Fuel_CO2fctr</vt:lpstr>
      <vt:lpstr>Mobile_LNG_CO2fctr</vt:lpstr>
      <vt:lpstr>Mobile_LPG_CO2fctr</vt:lpstr>
      <vt:lpstr>N2O_GWP</vt:lpstr>
      <vt:lpstr>Newspaper</vt:lpstr>
      <vt:lpstr>Non_Highway_Vehicles_Ch4_N2O</vt:lpstr>
      <vt:lpstr>'Help - Data Management'!Office</vt:lpstr>
      <vt:lpstr>Office_Paper</vt:lpstr>
      <vt:lpstr>'Help - Data Management'!Other</vt:lpstr>
      <vt:lpstr>PET</vt:lpstr>
      <vt:lpstr>Phonebooks</vt:lpstr>
      <vt:lpstr>PLA</vt:lpstr>
      <vt:lpstr>Portable_Electronic_Devices</vt:lpstr>
      <vt:lpstr>Portable_FireLeakRate</vt:lpstr>
      <vt:lpstr>Poultry</vt:lpstr>
      <vt:lpstr>PP</vt:lpstr>
      <vt:lpstr>Prod_Trans_Fctrs</vt:lpstr>
      <vt:lpstr>Prod_Trans_VehicleMiles</vt:lpstr>
      <vt:lpstr>Product_Trans_TonMiles</vt:lpstr>
      <vt:lpstr>PS</vt:lpstr>
      <vt:lpstr>'Help - Data Management'!PublicAssembly</vt:lpstr>
      <vt:lpstr>'Help - Data Management'!PublicOrder</vt:lpstr>
      <vt:lpstr>PVC</vt:lpstr>
      <vt:lpstr>Refrig</vt:lpstr>
      <vt:lpstr>Refrig_Equip</vt:lpstr>
      <vt:lpstr>'Help - Data Management'!RetailOther</vt:lpstr>
      <vt:lpstr>'Help - Data Management'!RetailStripMalls</vt:lpstr>
      <vt:lpstr>'Help - Data Management'!Service</vt:lpstr>
      <vt:lpstr>Solid</vt:lpstr>
      <vt:lpstr>Stationary_Fuel_Fctrs_mmBtu</vt:lpstr>
      <vt:lpstr>Stationary_Fuel_Fctrs_unit</vt:lpstr>
      <vt:lpstr>Steam_Fuel_Type</vt:lpstr>
      <vt:lpstr>Steel_Cans</vt:lpstr>
      <vt:lpstr>Tab_navigation</vt:lpstr>
      <vt:lpstr>Textbooks</vt:lpstr>
      <vt:lpstr>Tires</vt:lpstr>
      <vt:lpstr>'Help - Data Management'!Vacant</vt:lpstr>
      <vt:lpstr>Vehicle_Type</vt:lpstr>
      <vt:lpstr>Vinyl_Flooring</vt:lpstr>
      <vt:lpstr>'Help - Data Management'!Warehouse</vt:lpstr>
      <vt:lpstr>Wood_Flooring</vt:lpstr>
      <vt:lpstr>'Help - Data Management'!Worship</vt:lpstr>
      <vt:lpstr>Yard_Trimmings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Eisenbrown, Katie</dc:creator>
  <cp:keywords>Center for Corporate Climate Leadship</cp:keywords>
  <cp:lastModifiedBy>admin</cp:lastModifiedBy>
  <cp:lastPrinted>2011-04-29T20:59:33Z</cp:lastPrinted>
  <dcterms:created xsi:type="dcterms:W3CDTF">2002-12-27T21:28:48Z</dcterms:created>
  <dcterms:modified xsi:type="dcterms:W3CDTF">2021-06-14T18:54:02Z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TaxHTField">
    <vt:lpwstr>Center for Corporate Climate Leadship|983b13d1-4cfd-4ee5-931a-7ac871dd0f61</vt:lpwstr>
  </property>
  <property fmtid="{D5CDD505-2E9C-101B-9397-08002B2CF9AE}" pid="3" name="WorkLead">
    <vt:lpwstr/>
  </property>
  <property fmtid="{D5CDD505-2E9C-101B-9397-08002B2CF9AE}" pid="4" name="Managers">
    <vt:lpwstr/>
  </property>
  <property fmtid="{D5CDD505-2E9C-101B-9397-08002B2CF9AE}" pid="5" name="Project Period of Performance Start Date">
    <vt:lpwstr/>
  </property>
  <property fmtid="{D5CDD505-2E9C-101B-9397-08002B2CF9AE}" pid="6" name="RetentionExemption">
    <vt:lpwstr>false</vt:lpwstr>
  </property>
  <property fmtid="{D5CDD505-2E9C-101B-9397-08002B2CF9AE}" pid="7" name="PhaseName">
    <vt:lpwstr>Phase 1</vt:lpwstr>
  </property>
  <property fmtid="{D5CDD505-2E9C-101B-9397-08002B2CF9AE}" pid="8" name="ProjectTOWAName">
    <vt:lpwstr/>
  </property>
  <property fmtid="{D5CDD505-2E9C-101B-9397-08002B2CF9AE}" pid="9" name="ProjectTask">
    <vt:lpwstr>Not in Use</vt:lpwstr>
  </property>
  <property fmtid="{D5CDD505-2E9C-101B-9397-08002B2CF9AE}" pid="10" name="o862737f445746b494e2139aeb29e646">
    <vt:lpwstr/>
  </property>
  <property fmtid="{D5CDD505-2E9C-101B-9397-08002B2CF9AE}" pid="11" name="g50616bc87614647a90e999144457760">
    <vt:lpwstr/>
  </property>
  <property fmtid="{D5CDD505-2E9C-101B-9397-08002B2CF9AE}" pid="12" name="DocumentSetDescription">
    <vt:lpwstr/>
  </property>
  <property fmtid="{D5CDD505-2E9C-101B-9397-08002B2CF9AE}" pid="13" name="m5f81a6254e44a55996bb6356c849e0c">
    <vt:lpwstr/>
  </property>
  <property fmtid="{D5CDD505-2E9C-101B-9397-08002B2CF9AE}" pid="14" name="b5df6f1f3e23409d9f5e1fce19348e51">
    <vt:lpwstr/>
  </property>
  <property fmtid="{D5CDD505-2E9C-101B-9397-08002B2CF9AE}" pid="15" name="TaxCatchAll">
    <vt:lpwstr/>
  </property>
  <property fmtid="{D5CDD505-2E9C-101B-9397-08002B2CF9AE}" pid="16" name="Project Period of Performance End Date">
    <vt:lpwstr/>
  </property>
  <property fmtid="{D5CDD505-2E9C-101B-9397-08002B2CF9AE}" pid="17" name="a6be725d576043378de6f214f0e78ee4">
    <vt:lpwstr/>
  </property>
  <property fmtid="{D5CDD505-2E9C-101B-9397-08002B2CF9AE}" pid="18" name="od8879f902fd47c7bc2aee162c9e5240">
    <vt:lpwstr/>
  </property>
  <property fmtid="{D5CDD505-2E9C-101B-9397-08002B2CF9AE}" pid="19" name="j996553e0ae54d4984db0606efb6351c">
    <vt:lpwstr/>
  </property>
  <property fmtid="{D5CDD505-2E9C-101B-9397-08002B2CF9AE}" pid="20" name="if0a8aeaad58489cbaf27eea2233913d">
    <vt:lpwstr/>
  </property>
  <property fmtid="{D5CDD505-2E9C-101B-9397-08002B2CF9AE}" pid="21" name="ContractName">
    <vt:lpwstr>5496</vt:lpwstr>
  </property>
  <property fmtid="{D5CDD505-2E9C-101B-9397-08002B2CF9AE}" pid="22" name="ContractNumber">
    <vt:lpwstr/>
  </property>
  <property fmtid="{D5CDD505-2E9C-101B-9397-08002B2CF9AE}" pid="23" name="a6d0b0f5ac9d4fa8b2e660c59fbea416">
    <vt:lpwstr/>
  </property>
  <property fmtid="{D5CDD505-2E9C-101B-9397-08002B2CF9AE}" pid="24" name="ProjectOwner_PrincipalInvestigator">
    <vt:lpwstr/>
  </property>
  <property fmtid="{D5CDD505-2E9C-101B-9397-08002B2CF9AE}" pid="25" name="ContractCostPointNumber">
    <vt:lpwstr/>
  </property>
  <property fmtid="{D5CDD505-2E9C-101B-9397-08002B2CF9AE}" pid="26" name="ProgramName">
    <vt:lpwstr>Not in Use</vt:lpwstr>
  </property>
  <property fmtid="{D5CDD505-2E9C-101B-9397-08002B2CF9AE}" pid="27" name="f579045f93c34d4baadb74be2d3a98b1">
    <vt:lpwstr/>
  </property>
  <property fmtid="{D5CDD505-2E9C-101B-9397-08002B2CF9AE}" pid="28" name="ProjectName">
    <vt:lpwstr>ESIB CCCL 2013-14</vt:lpwstr>
  </property>
  <property fmtid="{D5CDD505-2E9C-101B-9397-08002B2CF9AE}" pid="29" name="ContentTypeId">
    <vt:lpwstr>0x010100A9E3D1CE2282624B8F15B03AB8CB1A97</vt:lpwstr>
  </property>
  <property fmtid="{D5CDD505-2E9C-101B-9397-08002B2CF9AE}" pid="30" name="_dlc_DocIdItemGuid">
    <vt:lpwstr>af35e9d0-e025-43c4-9229-4904477775b9</vt:lpwstr>
  </property>
</Properties>
</file>